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8000" windowHeight="3570" tabRatio="703" firstSheet="3" activeTab="5"/>
  </bookViews>
  <sheets>
    <sheet name="début maritime" sheetId="1" r:id="rId1"/>
    <sheet name="Rance maritime" sheetId="2" r:id="rId2"/>
    <sheet name="Ille-et-Rance" sheetId="3" r:id="rId3"/>
    <sheet name="Vilaine amont" sheetId="4" r:id="rId4"/>
    <sheet name="vilaine aval" sheetId="5" r:id="rId5"/>
    <sheet name="fin mairitme" sheetId="6" r:id="rId6"/>
    <sheet name="paramètres" sheetId="7" r:id="rId7"/>
    <sheet name="chantiers et ports" sheetId="8" r:id="rId8"/>
  </sheets>
  <definedNames>
    <definedName name="canaux" localSheetId="2">'Ille-et-Rance'!$A$2:$J$56</definedName>
    <definedName name="canaux" localSheetId="3">'Vilaine amont'!$A$6:$J$22</definedName>
    <definedName name="d">'paramètres'!$B$11</definedName>
    <definedName name="dm">'paramètres'!$J$27</definedName>
    <definedName name="dt">'paramètres'!$B$15</definedName>
    <definedName name="e">'paramètres'!$B$10</definedName>
    <definedName name="f">'paramètres'!$B$14</definedName>
    <definedName name="ft">'paramètres'!$B$16</definedName>
    <definedName name="jref">'paramètres'!#REF!</definedName>
    <definedName name="m">'paramètres'!$B$12</definedName>
    <definedName name="mper">'paramètres'!#REF!</definedName>
    <definedName name="p">'paramètres'!$B$13</definedName>
    <definedName name="pc">'paramètres'!$B$17</definedName>
    <definedName name="v">'paramètres'!$B$9*24</definedName>
  </definedNames>
  <calcPr fullCalcOnLoad="1"/>
</workbook>
</file>

<file path=xl/comments1.xml><?xml version="1.0" encoding="utf-8"?>
<comments xmlns="http://schemas.openxmlformats.org/spreadsheetml/2006/main">
  <authors>
    <author>jean</author>
  </authors>
  <commentList>
    <comment ref="H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temps de passage écluse + distance/vitesse</t>
        </r>
      </text>
    </comment>
    <comment ref="L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heure légale (UTC+2 sauf Guernesey et Chausey à UTC+1)</t>
        </r>
      </text>
    </comment>
    <comment ref="M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nombre de nuités.
Mis à 1 si on arrive trop tard à l'étape suivante</t>
        </r>
      </text>
    </comment>
  </commentList>
</comments>
</file>

<file path=xl/comments2.xml><?xml version="1.0" encoding="utf-8"?>
<comments xmlns="http://schemas.openxmlformats.org/spreadsheetml/2006/main">
  <authors>
    <author>jean</author>
  </authors>
  <commentList>
    <comment ref="G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km depuis début de la section</t>
        </r>
      </text>
    </comment>
    <comment ref="H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temps de passage écluse + distance/vitesse</t>
        </r>
      </text>
    </comment>
    <comment ref="L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Mis à 1 si on arrive à l'heure du déjeuner</t>
        </r>
      </text>
    </comment>
    <comment ref="M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nombre de nuités.
Mis à 1 si on arrive trop tard à l'étape suivante</t>
        </r>
      </text>
    </comment>
    <comment ref="J3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3 jours ajoutés comme marge pour blocage mauvais temps</t>
        </r>
      </text>
    </comment>
  </commentList>
</comments>
</file>

<file path=xl/comments3.xml><?xml version="1.0" encoding="utf-8"?>
<comments xmlns="http://schemas.openxmlformats.org/spreadsheetml/2006/main">
  <authors>
    <author>jean</author>
  </authors>
  <commentList>
    <comment ref="G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km depuis début de la section</t>
        </r>
      </text>
    </comment>
    <comment ref="H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temps de passage écluse + distance/vitesse</t>
        </r>
      </text>
    </comment>
    <comment ref="L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Mis à 1 si on arrive à l'heure du déjeuner</t>
        </r>
      </text>
    </comment>
    <comment ref="M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nombre de nuités.
Mis à 1 si on arrive trop tard à l'étape suivante</t>
        </r>
      </text>
    </comment>
  </commentList>
</comments>
</file>

<file path=xl/comments6.xml><?xml version="1.0" encoding="utf-8"?>
<comments xmlns="http://schemas.openxmlformats.org/spreadsheetml/2006/main">
  <authors>
    <author>jean</author>
  </authors>
  <commentList>
    <comment ref="H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temps de passage écluse + distance/vitesse</t>
        </r>
      </text>
    </comment>
    <comment ref="L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Mis à 1 si on arrive à l'heure du déjeuner</t>
        </r>
      </text>
    </comment>
    <comment ref="N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nombre de nuités.
Mis à 1 si on arrive trop tard à l'étape suivante</t>
        </r>
      </text>
    </comment>
    <comment ref="M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heure légale (UTC+2 sauf Guernesey et Chausey à UTC+1)</t>
        </r>
      </text>
    </comment>
  </commentList>
</comments>
</file>

<file path=xl/comments7.xml><?xml version="1.0" encoding="utf-8"?>
<comments xmlns="http://schemas.openxmlformats.org/spreadsheetml/2006/main">
  <authors>
    <author>jean</author>
  </authors>
  <commentList>
    <comment ref="B10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format hh:mm</t>
        </r>
      </text>
    </comment>
    <comment ref="I21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Le Croisic</t>
        </r>
      </text>
    </comment>
    <comment ref="I22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Quiberon
</t>
        </r>
      </text>
    </comment>
    <comment ref="J7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d'après site internet</t>
        </r>
      </text>
    </comment>
    <comment ref="I9" authorId="0">
      <text>
        <r>
          <rPr>
            <b/>
            <sz val="9"/>
            <rFont val="Tahoma"/>
            <family val="2"/>
          </rPr>
          <t>jean:</t>
        </r>
        <r>
          <rPr>
            <sz val="9"/>
            <rFont val="Tahoma"/>
            <family val="2"/>
          </rPr>
          <t xml:space="preserve">
concarneau</t>
        </r>
      </text>
    </comment>
  </commentList>
</comments>
</file>

<file path=xl/sharedStrings.xml><?xml version="1.0" encoding="utf-8"?>
<sst xmlns="http://schemas.openxmlformats.org/spreadsheetml/2006/main" count="436" uniqueCount="259">
  <si>
    <t>pk</t>
  </si>
  <si>
    <t>Nom</t>
  </si>
  <si>
    <t>Localisation</t>
  </si>
  <si>
    <t>Écluse du Mail</t>
  </si>
  <si>
    <t>Rennes</t>
  </si>
  <si>
    <t>Écluse de Saint-Martin</t>
  </si>
  <si>
    <t>Écluse de Robinson</t>
  </si>
  <si>
    <t>Saint-Grégoire</t>
  </si>
  <si>
    <t>Écluse de Charbonnière</t>
  </si>
  <si>
    <t>Écluse du Gacet</t>
  </si>
  <si>
    <t>Betton</t>
  </si>
  <si>
    <t>Écluse du Haut-Chalet</t>
  </si>
  <si>
    <t>Écluse des Brosses</t>
  </si>
  <si>
    <t>Écluse de Grugedaine</t>
  </si>
  <si>
    <t>Chevaigné</t>
  </si>
  <si>
    <t>Écluse des Cours</t>
  </si>
  <si>
    <t>Écluse de Fresnay</t>
  </si>
  <si>
    <t>Melesse</t>
  </si>
  <si>
    <t>Écluse de Saint-Germain</t>
  </si>
  <si>
    <t>Écluse de Bouessay</t>
  </si>
  <si>
    <t>Écluse de Saint-Médard-sur l'Ille</t>
  </si>
  <si>
    <t>Saint-Médard-sur-Ille</t>
  </si>
  <si>
    <t>Écluse du Dialay</t>
  </si>
  <si>
    <t>Écluse d'Ille</t>
  </si>
  <si>
    <t>Montreuil-sur-Ille</t>
  </si>
  <si>
    <t>Écluse de Haute-Roche</t>
  </si>
  <si>
    <t>Écluse de Lengager</t>
  </si>
  <si>
    <t>Écluse de Chanclin</t>
  </si>
  <si>
    <t>Écluse de Courgalais</t>
  </si>
  <si>
    <t>Écluse de Villemorin</t>
  </si>
  <si>
    <t>Guipel</t>
  </si>
  <si>
    <t>Écluse de la Ségerie</t>
  </si>
  <si>
    <t>Hédé-Bazouges</t>
  </si>
  <si>
    <t>Écluse Malabrie</t>
  </si>
  <si>
    <t>Écluse de la Pêchetière</t>
  </si>
  <si>
    <t>Écluse de la Charronnerie</t>
  </si>
  <si>
    <t>Écluse de la Parfraire</t>
  </si>
  <si>
    <t>Écluse numéro 26</t>
  </si>
  <si>
    <t>Écluse de la Jaunaie</t>
  </si>
  <si>
    <t>Écluse de la Madeleine</t>
  </si>
  <si>
    <t>Écluse de la Petite Madeleine</t>
  </si>
  <si>
    <t>Écluse de la Guéhardière</t>
  </si>
  <si>
    <t>Écluse de la Dialais</t>
  </si>
  <si>
    <t>Écluse de la Moucherie</t>
  </si>
  <si>
    <t>Tinténiac</t>
  </si>
  <si>
    <t>Écluse numéro 33</t>
  </si>
  <si>
    <t>Écluse de la Gromillais</t>
  </si>
  <si>
    <t>Québriac</t>
  </si>
  <si>
    <t>Écluse de Gué Noëllan</t>
  </si>
  <si>
    <t>Écluse de Pont Houitte</t>
  </si>
  <si>
    <t>Écluse de Calaudry</t>
  </si>
  <si>
    <t>Saint-Domineuc</t>
  </si>
  <si>
    <t>Écluse de Couadan</t>
  </si>
  <si>
    <t>Trévérien</t>
  </si>
  <si>
    <t>Écluse de la Butte Jacquette</t>
  </si>
  <si>
    <t>Écluse des Islots</t>
  </si>
  <si>
    <t>Écluse numéro 42</t>
  </si>
  <si>
    <t>Évran</t>
  </si>
  <si>
    <t>Écluse de la Roche</t>
  </si>
  <si>
    <t>Écluse du Mottay</t>
  </si>
  <si>
    <t>Écluse de Boutron</t>
  </si>
  <si>
    <t>Calorguen</t>
  </si>
  <si>
    <t>Écluse de Pont-Perrin</t>
  </si>
  <si>
    <t>Saint-Carné</t>
  </si>
  <si>
    <t>Écluse de Léhon</t>
  </si>
  <si>
    <t>Dinan</t>
  </si>
  <si>
    <t>Écluse du Châtelier</t>
  </si>
  <si>
    <t>Saint-Samson-sur-Rance</t>
  </si>
  <si>
    <t>Ecluse du Comte</t>
  </si>
  <si>
    <t>Ecluse d'Apigné</t>
  </si>
  <si>
    <t>Ecluse de Cicé</t>
  </si>
  <si>
    <t>Ecluse de Mons</t>
  </si>
  <si>
    <t>Ecluse de Pont-Réan</t>
  </si>
  <si>
    <t>Ecluse du Boël</t>
  </si>
  <si>
    <t>Ecluse de la Bouëxière</t>
  </si>
  <si>
    <t>Ecluse du Gailieu</t>
  </si>
  <si>
    <t>Ecluse de la Molière</t>
  </si>
  <si>
    <t>Ecluse de Macaire</t>
  </si>
  <si>
    <t>Ecluse de Guipry</t>
  </si>
  <si>
    <t>Ecluse de Malon</t>
  </si>
  <si>
    <t>tirant d'air</t>
  </si>
  <si>
    <t>tiran d'eau</t>
  </si>
  <si>
    <t>longueur</t>
  </si>
  <si>
    <t>nb écluses</t>
  </si>
  <si>
    <t>barrage d'Arzal</t>
  </si>
  <si>
    <t>Arzal</t>
  </si>
  <si>
    <t>site</t>
  </si>
  <si>
    <t>tirant eau</t>
  </si>
  <si>
    <t>www.bretagne.fr/internet/jcms/preprod_168135/les-conditions-de-navigation</t>
  </si>
  <si>
    <t>www.plaisance-fluviale-bretonne.fr/domaine_navigable.htm</t>
  </si>
  <si>
    <t>www.fluvialnet.com/voies-navigables/region-ouest-2/voie-canal-d-ille-et-rance-32</t>
  </si>
  <si>
    <t>www.canauxdebretagne.org/canaux-de-bretagne_liaison-manche-ocean_en-chiffres.htm</t>
  </si>
  <si>
    <t>Tirant d'eau sur le canal d'Ille-et-Rance</t>
  </si>
  <si>
    <t>vitesse nav (km/h)</t>
  </si>
  <si>
    <t>durée (h)</t>
  </si>
  <si>
    <t>heure arr.</t>
  </si>
  <si>
    <t>pause repas</t>
  </si>
  <si>
    <t>nuitée</t>
  </si>
  <si>
    <t>Foleux-Beganne</t>
  </si>
  <si>
    <t>La Roche Bernard</t>
  </si>
  <si>
    <t>Rieux</t>
  </si>
  <si>
    <t>Bellions</t>
  </si>
  <si>
    <t>Ste Anne sur Vilaine</t>
  </si>
  <si>
    <t>Langon</t>
  </si>
  <si>
    <t>Beslé sur Vilaine</t>
  </si>
  <si>
    <t>Sainte Marie</t>
  </si>
  <si>
    <t>Saint Nicolas de Redon</t>
  </si>
  <si>
    <t>Redon Nord</t>
  </si>
  <si>
    <t>Redon</t>
  </si>
  <si>
    <t>Redon Sud</t>
  </si>
  <si>
    <t>heure début (h)</t>
  </si>
  <si>
    <t>heure déjeuner (h)</t>
  </si>
  <si>
    <t>heure fin (h)</t>
  </si>
  <si>
    <t>durée pause déjeuner (h)</t>
  </si>
  <si>
    <t>durée passage écluse (h)</t>
  </si>
  <si>
    <t>lat</t>
  </si>
  <si>
    <t>lng</t>
  </si>
  <si>
    <t>tourisme</t>
  </si>
  <si>
    <t>Numéro étape</t>
  </si>
  <si>
    <t>N° écluse</t>
  </si>
  <si>
    <t>remarque</t>
  </si>
  <si>
    <t>accès à Bruz</t>
  </si>
  <si>
    <t>Pont-Réan</t>
  </si>
  <si>
    <t>CHANTIER CRIS BOAT</t>
  </si>
  <si>
    <t>Port de Commerce</t>
  </si>
  <si>
    <t>75, Rue de Vannes</t>
  </si>
  <si>
    <t>35 600 REDON</t>
  </si>
  <si>
    <t>www.chantier-crisboat.com</t>
  </si>
  <si>
    <t>chantier Cris Boat remâtage ?</t>
  </si>
  <si>
    <t>sur Vilaine aval pour rematage</t>
  </si>
  <si>
    <t>CN de Vilaine</t>
  </si>
  <si>
    <t>Port de plaisance</t>
  </si>
  <si>
    <t>56190 ARZAL</t>
  </si>
  <si>
    <t>02 97 45 04 97</t>
  </si>
  <si>
    <t>www.cndevilaine.com</t>
  </si>
  <si>
    <t>nom</t>
  </si>
  <si>
    <t>adresse</t>
  </si>
  <si>
    <t>ville</t>
  </si>
  <si>
    <t>téléphone</t>
  </si>
  <si>
    <t>Le Grand Val</t>
  </si>
  <si>
    <t>35870 - Le Minihic-sur-Rance</t>
  </si>
  <si>
    <t>02 99 88 55 07</t>
  </si>
  <si>
    <t>02 99 71 08 05</t>
  </si>
  <si>
    <t>CN de la Ville Audrain</t>
  </si>
  <si>
    <t>1 bis av. Louis Martin</t>
  </si>
  <si>
    <t>35400 Saint-Malo</t>
  </si>
  <si>
    <t>02 99 56 48 06</t>
  </si>
  <si>
    <t>www.cngrandval.com</t>
  </si>
  <si>
    <t>estuaire Rance gardiennage démâtage</t>
  </si>
  <si>
    <t>www.ville-audrain.com</t>
  </si>
  <si>
    <t>estuaire Rance démâtage</t>
  </si>
  <si>
    <t>Cran</t>
  </si>
  <si>
    <t>pont tournant tirant d'air 5,8m</t>
  </si>
  <si>
    <t>port/halte</t>
  </si>
  <si>
    <t>P</t>
  </si>
  <si>
    <t>Port de plaisance Messac</t>
  </si>
  <si>
    <t>Messac</t>
  </si>
  <si>
    <t>Halte nautique de Pont-Réan</t>
  </si>
  <si>
    <t>H</t>
  </si>
  <si>
    <t>Port Halte</t>
  </si>
  <si>
    <t>Halte de Saint-Dominieuc</t>
  </si>
  <si>
    <t>quai avant l'écluse</t>
  </si>
  <si>
    <t>Quais de Montreuil-sur-Ille</t>
  </si>
  <si>
    <t>Q</t>
  </si>
  <si>
    <t>Quai de service de Saint-Germain</t>
  </si>
  <si>
    <t>Saint-Germain</t>
  </si>
  <si>
    <t>Quai de Betton</t>
  </si>
  <si>
    <t>Quai de Saint-Grégoire</t>
  </si>
  <si>
    <t>Quai Saint-Cyr</t>
  </si>
  <si>
    <t>bornes</t>
  </si>
  <si>
    <t>35000 Rennes</t>
  </si>
  <si>
    <t>35100 Rennes</t>
  </si>
  <si>
    <t>35170 Bruz</t>
  </si>
  <si>
    <t>35580 Guichen</t>
  </si>
  <si>
    <t>35580 Saint Senoux</t>
  </si>
  <si>
    <t>35480 St Malo de Phily</t>
  </si>
  <si>
    <t>35480 Guipry</t>
  </si>
  <si>
    <t>http://www.fluvialnet.com/voies-navigables/region-ouest-2/voie-vilaine-amont-33</t>
  </si>
  <si>
    <t>halte à Bourg des Comptes</t>
  </si>
  <si>
    <t>http://www.fluvialnet.com/voies-navigables/region-ouest-2/voie-vilaine-aval-34</t>
  </si>
  <si>
    <t>jonction canal de Nantes à Brest</t>
  </si>
  <si>
    <t>http://www.fluvialnet.com/voies-navigables/region-ouest-2/voie-canal-d-ille-et-rance-32</t>
  </si>
  <si>
    <t>Saint-Malo</t>
  </si>
  <si>
    <t>visite</t>
  </si>
  <si>
    <t>La Pagnais</t>
  </si>
  <si>
    <t>Ecluse usine de la Rance</t>
  </si>
  <si>
    <t>CN du Grand Val</t>
  </si>
  <si>
    <t>Le Mihimic</t>
  </si>
  <si>
    <t>Pont Saint Hubert</t>
  </si>
  <si>
    <t>Le Port St Hubert</t>
  </si>
  <si>
    <t>Plouër sur Rance</t>
  </si>
  <si>
    <t>Estuaire Marine services</t>
  </si>
  <si>
    <t>02 96 86 89 39</t>
  </si>
  <si>
    <t>www.plouer-sur-rance.fr/fr/chantiersnavalsetservices.aspx</t>
  </si>
  <si>
    <t>plusieurs chantiers</t>
  </si>
  <si>
    <t>Plouër-sur-Rance</t>
  </si>
  <si>
    <t>dématage ?</t>
  </si>
  <si>
    <t>CN Plouër-sur-Rance</t>
  </si>
  <si>
    <t>Cale de Mordreux</t>
  </si>
  <si>
    <t>mouillage</t>
  </si>
  <si>
    <t>Mordreux</t>
  </si>
  <si>
    <t>jour d'arrivée</t>
  </si>
  <si>
    <t>port de dinan</t>
  </si>
  <si>
    <t>02 96 39 56 44</t>
  </si>
  <si>
    <t>http://www.port-dinan-lanvallay.com/port.php</t>
  </si>
  <si>
    <t>grue pour dématage
100 places à flot dont 30 réservées aux visiteurs</t>
  </si>
  <si>
    <t>dématage ? Gardiennage ?</t>
  </si>
  <si>
    <t>heure départ tôt</t>
  </si>
  <si>
    <t>heure arrêt tard</t>
  </si>
  <si>
    <t>pause courte</t>
  </si>
  <si>
    <t>http://www.exoti.com/rubriques/Bretagne_Redon_Rennes/fr/vilaine06.html</t>
  </si>
  <si>
    <t>musée de la Batellerie</t>
  </si>
  <si>
    <t>Remarques JF</t>
  </si>
  <si>
    <t>J'ai tphé à Mairie parcage possible</t>
  </si>
  <si>
    <t>Envoyé mail à la mairie</t>
  </si>
  <si>
    <t>Pas vu de quai pour parcage</t>
  </si>
  <si>
    <t>Petit quai-ponton</t>
  </si>
  <si>
    <t>Service de navigation avec bateau à quai</t>
  </si>
  <si>
    <t>Pas vu de quai</t>
  </si>
  <si>
    <t>Bcp de bateaux au quai</t>
  </si>
  <si>
    <t>Plusieurs bateaux au quai</t>
  </si>
  <si>
    <t>Péniches aménagées</t>
  </si>
  <si>
    <t>Lorient</t>
  </si>
  <si>
    <t>Groix</t>
  </si>
  <si>
    <t>Les Glénans</t>
  </si>
  <si>
    <t>Audierne</t>
  </si>
  <si>
    <t>Camaret</t>
  </si>
  <si>
    <t>Aber Ildut</t>
  </si>
  <si>
    <t>Aber Wrach</t>
  </si>
  <si>
    <t>Ile de Batz ou Roscoff</t>
  </si>
  <si>
    <t>Perros</t>
  </si>
  <si>
    <t>Brehat ou Painpol</t>
  </si>
  <si>
    <t>Jersey</t>
  </si>
  <si>
    <t>Chausey</t>
  </si>
  <si>
    <t>Le Couesty ou Houat</t>
  </si>
  <si>
    <t>Sauzon</t>
  </si>
  <si>
    <t>milles</t>
  </si>
  <si>
    <t>lundi</t>
  </si>
  <si>
    <t>mardi</t>
  </si>
  <si>
    <t>dimanche</t>
  </si>
  <si>
    <t>mercredi</t>
  </si>
  <si>
    <t>jeudi</t>
  </si>
  <si>
    <t>vendredi</t>
  </si>
  <si>
    <t>samedi</t>
  </si>
  <si>
    <t>Guernesey</t>
  </si>
  <si>
    <t>jours semaine</t>
  </si>
  <si>
    <t>Etape</t>
  </si>
  <si>
    <t>date planning</t>
  </si>
  <si>
    <t>date ephem</t>
  </si>
  <si>
    <t>PM ephem</t>
  </si>
  <si>
    <t>PM planning</t>
  </si>
  <si>
    <t>http://maree.info/</t>
  </si>
  <si>
    <t>Jersey *</t>
  </si>
  <si>
    <t>Guernesey *</t>
  </si>
  <si>
    <t>incr PM/j</t>
  </si>
  <si>
    <t>marée PM</t>
  </si>
  <si>
    <t>Chausey *</t>
  </si>
  <si>
    <t>* http://www.tides4fishing.com/fr/basse-normandie, heure française</t>
  </si>
  <si>
    <t>nettoyage et désarmement du bateau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</si>
</sst>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h:mm:ss;@"/>
    <numFmt numFmtId="166" formatCode="[$-40C]dddd\ d\ mmmm\ yyyy"/>
    <numFmt numFmtId="167" formatCode="0.0000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[$-40C]d\-mmm;@"/>
    <numFmt numFmtId="172" formatCode="mmm\-yyyy"/>
    <numFmt numFmtId="173" formatCode="h:mm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45" applyBorder="1" applyAlignment="1" applyProtection="1">
      <alignment/>
      <protection/>
    </xf>
    <xf numFmtId="0" fontId="2" fillId="0" borderId="10" xfId="45" applyBorder="1" applyAlignment="1" applyProtection="1">
      <alignment/>
      <protection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33" borderId="14" xfId="0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20" fontId="0" fillId="0" borderId="0" xfId="0" applyNumberFormat="1" applyAlignment="1">
      <alignment/>
    </xf>
    <xf numFmtId="0" fontId="0" fillId="34" borderId="14" xfId="0" applyFill="1" applyBorder="1" applyAlignment="1">
      <alignment/>
    </xf>
    <xf numFmtId="20" fontId="0" fillId="34" borderId="14" xfId="0" applyNumberFormat="1" applyFill="1" applyBorder="1" applyAlignment="1">
      <alignment/>
    </xf>
    <xf numFmtId="0" fontId="0" fillId="0" borderId="0" xfId="0" applyFont="1" applyAlignment="1">
      <alignment/>
    </xf>
    <xf numFmtId="2" fontId="0" fillId="33" borderId="15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49" fontId="0" fillId="33" borderId="14" xfId="0" applyNumberFormat="1" applyFill="1" applyBorder="1" applyAlignment="1">
      <alignment wrapText="1"/>
    </xf>
    <xf numFmtId="49" fontId="0" fillId="33" borderId="14" xfId="0" applyNumberFormat="1" applyFill="1" applyBorder="1" applyAlignment="1">
      <alignment horizontal="center" wrapText="1"/>
    </xf>
    <xf numFmtId="49" fontId="0" fillId="33" borderId="15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35" borderId="0" xfId="0" applyNumberFormat="1" applyFill="1" applyAlignment="1">
      <alignment wrapText="1"/>
    </xf>
    <xf numFmtId="0" fontId="2" fillId="0" borderId="0" xfId="45" applyAlignment="1" applyProtection="1">
      <alignment/>
      <protection/>
    </xf>
    <xf numFmtId="0" fontId="6" fillId="35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0" fillId="33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6" borderId="0" xfId="0" applyFill="1" applyAlignment="1">
      <alignment/>
    </xf>
    <xf numFmtId="171" fontId="0" fillId="36" borderId="0" xfId="0" applyNumberFormat="1" applyFill="1" applyAlignment="1">
      <alignment/>
    </xf>
    <xf numFmtId="0" fontId="2" fillId="36" borderId="0" xfId="45" applyFill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45" applyFill="1" applyAlignment="1" applyProtection="1">
      <alignment/>
      <protection/>
    </xf>
    <xf numFmtId="49" fontId="0" fillId="33" borderId="14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167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0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171" fontId="0" fillId="0" borderId="0" xfId="0" applyNumberFormat="1" applyFill="1" applyAlignment="1">
      <alignment horizontal="left"/>
    </xf>
    <xf numFmtId="171" fontId="0" fillId="0" borderId="0" xfId="0" applyNumberFormat="1" applyAlignment="1">
      <alignment horizontal="left"/>
    </xf>
    <xf numFmtId="20" fontId="0" fillId="0" borderId="0" xfId="0" applyNumberFormat="1" applyFill="1" applyAlignment="1">
      <alignment horizontal="right"/>
    </xf>
    <xf numFmtId="20" fontId="0" fillId="0" borderId="0" xfId="0" applyNumberFormat="1" applyAlignment="1">
      <alignment horizontal="right"/>
    </xf>
    <xf numFmtId="171" fontId="6" fillId="0" borderId="0" xfId="0" applyNumberFormat="1" applyFont="1" applyFill="1" applyAlignment="1">
      <alignment horizontal="left"/>
    </xf>
    <xf numFmtId="15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20" fontId="0" fillId="0" borderId="14" xfId="0" applyNumberFormat="1" applyFill="1" applyBorder="1" applyAlignment="1">
      <alignment/>
    </xf>
    <xf numFmtId="171" fontId="0" fillId="0" borderId="0" xfId="0" applyNumberFormat="1" applyFont="1" applyAlignment="1">
      <alignment horizontal="left"/>
    </xf>
    <xf numFmtId="0" fontId="0" fillId="0" borderId="16" xfId="0" applyBorder="1" applyAlignment="1">
      <alignment/>
    </xf>
    <xf numFmtId="0" fontId="2" fillId="0" borderId="17" xfId="45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0" fillId="0" borderId="19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20" fontId="0" fillId="0" borderId="0" xfId="0" applyNumberFormat="1" applyBorder="1" applyAlignment="1">
      <alignment/>
    </xf>
    <xf numFmtId="171" fontId="0" fillId="0" borderId="0" xfId="0" applyNumberFormat="1" applyFill="1" applyBorder="1" applyAlignment="1">
      <alignment horizontal="left"/>
    </xf>
    <xf numFmtId="20" fontId="0" fillId="0" borderId="20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5" fontId="0" fillId="0" borderId="19" xfId="0" applyNumberFormat="1" applyBorder="1" applyAlignment="1">
      <alignment/>
    </xf>
    <xf numFmtId="0" fontId="0" fillId="0" borderId="21" xfId="0" applyFont="1" applyBorder="1" applyAlignment="1">
      <alignment/>
    </xf>
    <xf numFmtId="20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1" fontId="0" fillId="16" borderId="0" xfId="0" applyNumberFormat="1" applyFill="1" applyBorder="1" applyAlignment="1">
      <alignment/>
    </xf>
    <xf numFmtId="20" fontId="0" fillId="16" borderId="0" xfId="0" applyNumberFormat="1" applyFill="1" applyBorder="1" applyAlignment="1">
      <alignment/>
    </xf>
    <xf numFmtId="20" fontId="0" fillId="0" borderId="0" xfId="0" applyNumberFormat="1" applyFont="1" applyAlignment="1">
      <alignment/>
    </xf>
    <xf numFmtId="171" fontId="0" fillId="33" borderId="24" xfId="0" applyNumberFormat="1" applyFont="1" applyFill="1" applyBorder="1" applyAlignment="1">
      <alignment horizontal="center" wrapText="1"/>
    </xf>
    <xf numFmtId="171" fontId="0" fillId="33" borderId="25" xfId="0" applyNumberFormat="1" applyFont="1" applyFill="1" applyBorder="1" applyAlignment="1">
      <alignment horizontal="center" wrapText="1"/>
    </xf>
    <xf numFmtId="49" fontId="0" fillId="33" borderId="24" xfId="0" applyNumberFormat="1" applyFont="1" applyFill="1" applyBorder="1" applyAlignment="1">
      <alignment horizontal="center" wrapText="1"/>
    </xf>
    <xf numFmtId="49" fontId="0" fillId="33" borderId="25" xfId="0" applyNumberFormat="1" applyFont="1" applyFill="1" applyBorder="1" applyAlignment="1">
      <alignment horizontal="center" wrapText="1"/>
    </xf>
    <xf numFmtId="171" fontId="42" fillId="0" borderId="0" xfId="0" applyNumberFormat="1" applyFont="1" applyFill="1" applyAlignment="1">
      <alignment horizontal="left"/>
    </xf>
    <xf numFmtId="20" fontId="0" fillId="16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vialnet.com/voies-navigables/region-ouest-2/voie-canal-d-ille-et-rance-32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vialnet.com/voies-navigables/region-ouest-2/voie-vilaine-amont-33" TargetMode="External" /><Relationship Id="rId2" Type="http://schemas.openxmlformats.org/officeDocument/2006/relationships/hyperlink" Target="http://www.exoti.com/rubriques/Bretagne_Redon_Rennes/fr/vilaine06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vialnet.com/voies-navigables/region-ouest-2/voie-vilaine-aval-34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isance-fluviale-bretonne.fr/domaine_navigable.htm" TargetMode="External" /><Relationship Id="rId2" Type="http://schemas.openxmlformats.org/officeDocument/2006/relationships/hyperlink" Target="http://www.fluvialnet.com/voies-navigables/region-ouest-2/voie-canal-d-ille-et-rance-32" TargetMode="External" /><Relationship Id="rId3" Type="http://schemas.openxmlformats.org/officeDocument/2006/relationships/hyperlink" Target="http://www.bretagne.fr/internet/jcms/preprod_168135/les-conditions-de-navigation" TargetMode="External" /><Relationship Id="rId4" Type="http://schemas.openxmlformats.org/officeDocument/2006/relationships/hyperlink" Target="http://www.canauxdebretagne.org/canaux-de-bretagne_liaison-manche-ocean_en-chiffres.htm" TargetMode="External" /><Relationship Id="rId5" Type="http://schemas.openxmlformats.org/officeDocument/2006/relationships/hyperlink" Target="http://maree.info/" TargetMode="External" /><Relationship Id="rId6" Type="http://schemas.openxmlformats.org/officeDocument/2006/relationships/comments" Target="../comments7.xml" /><Relationship Id="rId7" Type="http://schemas.openxmlformats.org/officeDocument/2006/relationships/vmlDrawing" Target="../drawings/vmlDrawing5.vml" /><Relationship Id="rId8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ntier-crisboat.com/" TargetMode="External" /><Relationship Id="rId2" Type="http://schemas.openxmlformats.org/officeDocument/2006/relationships/hyperlink" Target="http://www.cndevilaine.com/" TargetMode="External" /><Relationship Id="rId3" Type="http://schemas.openxmlformats.org/officeDocument/2006/relationships/hyperlink" Target="http://www.cngrandval.com/" TargetMode="External" /><Relationship Id="rId4" Type="http://schemas.openxmlformats.org/officeDocument/2006/relationships/hyperlink" Target="http://www.plouer-sur-rance.fr/fr/chantiersnavalsetservices.aspx" TargetMode="External" /><Relationship Id="rId5" Type="http://schemas.openxmlformats.org/officeDocument/2006/relationships/hyperlink" Target="http://www.port-dinan-lanvallay.com/port.php" TargetMode="Externa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7.57421875" style="0" customWidth="1"/>
    <col min="2" max="2" width="10.421875" style="0" hidden="1" customWidth="1"/>
    <col min="3" max="3" width="5.421875" style="0" hidden="1" customWidth="1"/>
    <col min="4" max="4" width="21.00390625" style="0" customWidth="1"/>
    <col min="5" max="6" width="0" style="0" hidden="1" customWidth="1"/>
    <col min="7" max="7" width="5.8515625" style="0" customWidth="1"/>
    <col min="8" max="8" width="6.00390625" style="0" hidden="1" customWidth="1"/>
    <col min="9" max="9" width="9.421875" style="0" customWidth="1"/>
    <col min="10" max="10" width="7.7109375" style="0" customWidth="1"/>
    <col min="11" max="11" width="0" style="0" hidden="1" customWidth="1"/>
    <col min="12" max="12" width="7.8515625" style="0" customWidth="1"/>
    <col min="13" max="13" width="9.140625" style="0" customWidth="1"/>
    <col min="14" max="14" width="15.140625" style="0" hidden="1" customWidth="1"/>
    <col min="15" max="15" width="0" style="0" hidden="1" customWidth="1"/>
    <col min="16" max="16" width="31.57421875" style="0" customWidth="1"/>
  </cols>
  <sheetData>
    <row r="2" spans="1:16" ht="140.25">
      <c r="A2" s="16" t="s">
        <v>118</v>
      </c>
      <c r="B2" s="16" t="s">
        <v>1</v>
      </c>
      <c r="C2" s="16" t="s">
        <v>119</v>
      </c>
      <c r="D2" s="16" t="s">
        <v>2</v>
      </c>
      <c r="E2" s="18" t="s">
        <v>115</v>
      </c>
      <c r="F2" s="18" t="s">
        <v>116</v>
      </c>
      <c r="G2" s="40" t="s">
        <v>236</v>
      </c>
      <c r="H2" s="17" t="s">
        <v>94</v>
      </c>
      <c r="I2" s="80" t="s">
        <v>201</v>
      </c>
      <c r="J2" s="81"/>
      <c r="K2" s="27" t="s">
        <v>95</v>
      </c>
      <c r="L2" s="27" t="s">
        <v>255</v>
      </c>
      <c r="M2" s="17" t="s">
        <v>97</v>
      </c>
      <c r="N2" s="25" t="s">
        <v>159</v>
      </c>
      <c r="O2" s="20" t="s">
        <v>117</v>
      </c>
      <c r="P2" s="20" t="s">
        <v>120</v>
      </c>
    </row>
    <row r="3" spans="1:13" ht="12.75">
      <c r="A3">
        <v>1</v>
      </c>
      <c r="D3" t="s">
        <v>222</v>
      </c>
      <c r="I3" s="47" t="str">
        <f>INDEX(paramètres!$G$8:$G$14,WEEKDAY(J3))</f>
        <v>samedi</v>
      </c>
      <c r="J3" s="48">
        <v>42168</v>
      </c>
      <c r="L3" s="79">
        <f>paramètres!M7</f>
        <v>0.6402777777777778</v>
      </c>
      <c r="M3">
        <v>1</v>
      </c>
    </row>
    <row r="4" spans="1:13" ht="12.75">
      <c r="A4">
        <f>A3+1</f>
        <v>2</v>
      </c>
      <c r="D4" t="s">
        <v>223</v>
      </c>
      <c r="G4">
        <v>10</v>
      </c>
      <c r="I4" s="47" t="str">
        <f>INDEX(paramètres!$G$8:$G$14,WEEKDAY(J4))</f>
        <v>dimanche</v>
      </c>
      <c r="J4" s="49">
        <f>J3+IF(ISNUMBER(M3),M3,0)</f>
        <v>42169</v>
      </c>
      <c r="L4" s="79">
        <f>paramètres!M8</f>
        <v>0.6694444444444444</v>
      </c>
      <c r="M4">
        <v>1</v>
      </c>
    </row>
    <row r="5" spans="1:13" ht="12.75">
      <c r="A5">
        <f aca="true" t="shared" si="0" ref="A5:A16">A4+1</f>
        <v>3</v>
      </c>
      <c r="D5" s="13" t="s">
        <v>224</v>
      </c>
      <c r="G5">
        <v>23</v>
      </c>
      <c r="I5" s="47" t="str">
        <f>INDEX(paramètres!$G$8:$G$14,WEEKDAY(J5))</f>
        <v>lundi</v>
      </c>
      <c r="J5" s="49">
        <f aca="true" t="shared" si="1" ref="J5:J16">J4+IF(ISNUMBER(M4),M4,0)</f>
        <v>42170</v>
      </c>
      <c r="L5" s="79">
        <f>paramètres!M9</f>
        <v>0.7013888888888888</v>
      </c>
      <c r="M5">
        <v>2</v>
      </c>
    </row>
    <row r="6" spans="1:13" ht="12.75">
      <c r="A6">
        <f t="shared" si="0"/>
        <v>4</v>
      </c>
      <c r="D6" s="26" t="s">
        <v>225</v>
      </c>
      <c r="G6">
        <v>32</v>
      </c>
      <c r="I6" s="47" t="str">
        <f>INDEX(paramètres!$G$8:$G$14,WEEKDAY(J6))</f>
        <v>mercredi</v>
      </c>
      <c r="J6" s="49">
        <f t="shared" si="1"/>
        <v>42172</v>
      </c>
      <c r="L6" s="79">
        <f>paramètres!M10</f>
        <v>0.75625</v>
      </c>
      <c r="M6">
        <v>1</v>
      </c>
    </row>
    <row r="7" spans="1:13" ht="12.75">
      <c r="A7">
        <f t="shared" si="0"/>
        <v>5</v>
      </c>
      <c r="D7" s="26" t="s">
        <v>226</v>
      </c>
      <c r="G7">
        <v>30</v>
      </c>
      <c r="I7" s="47" t="str">
        <f>INDEX(paramètres!$G$8:$G$14,WEEKDAY(J7))</f>
        <v>jeudi</v>
      </c>
      <c r="J7" s="49">
        <f t="shared" si="1"/>
        <v>42173</v>
      </c>
      <c r="L7" s="79">
        <f>paramètres!M11</f>
        <v>0.28611111111111115</v>
      </c>
      <c r="M7">
        <v>2</v>
      </c>
    </row>
    <row r="8" spans="1:13" ht="12.75">
      <c r="A8">
        <f t="shared" si="0"/>
        <v>6</v>
      </c>
      <c r="D8" s="26" t="s">
        <v>227</v>
      </c>
      <c r="G8">
        <v>20</v>
      </c>
      <c r="I8" s="47" t="str">
        <f>INDEX(paramètres!$G$8:$G$14,WEEKDAY(J8))</f>
        <v>samedi</v>
      </c>
      <c r="J8" s="49">
        <f t="shared" si="1"/>
        <v>42175</v>
      </c>
      <c r="L8" s="79">
        <f>paramètres!M12</f>
        <v>0.3534722222222222</v>
      </c>
      <c r="M8">
        <v>1</v>
      </c>
    </row>
    <row r="9" spans="1:13" ht="12.75">
      <c r="A9">
        <f t="shared" si="0"/>
        <v>7</v>
      </c>
      <c r="D9" s="26" t="s">
        <v>228</v>
      </c>
      <c r="G9">
        <v>20</v>
      </c>
      <c r="I9" s="47" t="str">
        <f>INDEX(paramètres!$G$8:$G$14,WEEKDAY(J9))</f>
        <v>dimanche</v>
      </c>
      <c r="J9" s="49">
        <f t="shared" si="1"/>
        <v>42176</v>
      </c>
      <c r="L9" s="79">
        <f>paramètres!M13</f>
        <v>0.3923611111111111</v>
      </c>
      <c r="M9">
        <v>2</v>
      </c>
    </row>
    <row r="10" spans="1:13" ht="12.75">
      <c r="A10">
        <f t="shared" si="0"/>
        <v>8</v>
      </c>
      <c r="D10" s="26" t="s">
        <v>229</v>
      </c>
      <c r="G10">
        <v>32</v>
      </c>
      <c r="I10" s="47" t="str">
        <f>INDEX(paramètres!$G$8:$G$14,WEEKDAY(J10))</f>
        <v>mardi</v>
      </c>
      <c r="J10" s="49">
        <f t="shared" si="1"/>
        <v>42178</v>
      </c>
      <c r="L10" s="79">
        <f>paramètres!M14</f>
        <v>0.46875</v>
      </c>
      <c r="M10">
        <v>2</v>
      </c>
    </row>
    <row r="11" spans="1:13" ht="12.75">
      <c r="A11">
        <f t="shared" si="0"/>
        <v>9</v>
      </c>
      <c r="D11" s="26" t="s">
        <v>230</v>
      </c>
      <c r="G11">
        <v>25</v>
      </c>
      <c r="I11" s="47" t="str">
        <f>INDEX(paramètres!$G$8:$G$14,WEEKDAY(J11))</f>
        <v>jeudi</v>
      </c>
      <c r="J11" s="49">
        <f t="shared" si="1"/>
        <v>42180</v>
      </c>
      <c r="L11" s="79">
        <f>paramètres!M15</f>
        <v>0.5548611111111111</v>
      </c>
      <c r="M11">
        <v>2</v>
      </c>
    </row>
    <row r="12" spans="1:13" ht="12.75">
      <c r="A12">
        <f t="shared" si="0"/>
        <v>10</v>
      </c>
      <c r="D12" s="26" t="s">
        <v>231</v>
      </c>
      <c r="G12">
        <v>25</v>
      </c>
      <c r="I12" s="47" t="str">
        <f>INDEX(paramètres!$G$8:$G$14,WEEKDAY(J12))</f>
        <v>samedi</v>
      </c>
      <c r="J12" s="49">
        <f t="shared" si="1"/>
        <v>42182</v>
      </c>
      <c r="L12" s="79">
        <f>paramètres!M16</f>
        <v>0.6749999999999999</v>
      </c>
      <c r="M12">
        <v>2</v>
      </c>
    </row>
    <row r="13" spans="1:13" ht="12.75">
      <c r="A13">
        <f t="shared" si="0"/>
        <v>11</v>
      </c>
      <c r="D13" s="26" t="s">
        <v>244</v>
      </c>
      <c r="G13">
        <v>45</v>
      </c>
      <c r="I13" s="47" t="str">
        <f>INDEX(paramètres!$G$8:$G$14,WEEKDAY(J13))</f>
        <v>lundi</v>
      </c>
      <c r="J13" s="49">
        <f t="shared" si="1"/>
        <v>42184</v>
      </c>
      <c r="L13" s="79">
        <f>paramètres!M17</f>
        <v>0.7708333333333334</v>
      </c>
      <c r="M13">
        <v>2</v>
      </c>
    </row>
    <row r="14" spans="1:13" ht="12.75">
      <c r="A14">
        <f t="shared" si="0"/>
        <v>12</v>
      </c>
      <c r="D14" s="26" t="s">
        <v>232</v>
      </c>
      <c r="G14">
        <v>20</v>
      </c>
      <c r="I14" s="47" t="str">
        <f>INDEX(paramètres!$G$8:$G$14,WEEKDAY(J14))</f>
        <v>mercredi</v>
      </c>
      <c r="J14" s="49">
        <f t="shared" si="1"/>
        <v>42186</v>
      </c>
      <c r="L14" s="79">
        <f>paramètres!M18</f>
        <v>0.2743055555555555</v>
      </c>
      <c r="M14">
        <v>1</v>
      </c>
    </row>
    <row r="15" spans="1:13" ht="12.75">
      <c r="A15">
        <f t="shared" si="0"/>
        <v>13</v>
      </c>
      <c r="D15" s="26" t="s">
        <v>233</v>
      </c>
      <c r="G15">
        <v>20</v>
      </c>
      <c r="I15" s="47" t="str">
        <f>INDEX(paramètres!$G$8:$G$14,WEEKDAY(J15))</f>
        <v>jeudi</v>
      </c>
      <c r="J15" s="49">
        <f t="shared" si="1"/>
        <v>42187</v>
      </c>
      <c r="L15" s="79">
        <f>paramètres!M19</f>
        <v>0.3368055555555556</v>
      </c>
      <c r="M15">
        <v>2</v>
      </c>
    </row>
    <row r="16" spans="1:13" ht="12.75">
      <c r="A16">
        <f t="shared" si="0"/>
        <v>14</v>
      </c>
      <c r="D16" s="26" t="s">
        <v>182</v>
      </c>
      <c r="G16">
        <v>18</v>
      </c>
      <c r="I16" s="47" t="str">
        <f>INDEX(paramètres!$G$8:$G$14,WEEKDAY(J16))</f>
        <v>samedi</v>
      </c>
      <c r="J16" s="49">
        <f t="shared" si="1"/>
        <v>42189</v>
      </c>
      <c r="L16" s="79">
        <f>paramètres!M20</f>
        <v>0.3958333333333333</v>
      </c>
      <c r="M16">
        <v>1</v>
      </c>
    </row>
    <row r="17" ht="12.75">
      <c r="L17" s="10"/>
    </row>
    <row r="20" ht="12.75">
      <c r="J20" s="46"/>
    </row>
  </sheetData>
  <sheetProtection/>
  <mergeCells count="1">
    <mergeCell ref="I2:J2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7"/>
  <sheetViews>
    <sheetView zoomScalePageLayoutView="0" workbookViewId="0" topLeftCell="A1">
      <selection activeCell="D7" sqref="D7"/>
    </sheetView>
  </sheetViews>
  <sheetFormatPr defaultColWidth="11.421875" defaultRowHeight="12.75"/>
  <cols>
    <col min="2" max="2" width="23.421875" style="0" customWidth="1"/>
    <col min="3" max="3" width="6.421875" style="0" customWidth="1"/>
    <col min="4" max="4" width="21.7109375" style="0" customWidth="1"/>
    <col min="5" max="6" width="0" style="0" hidden="1" customWidth="1"/>
    <col min="8" max="8" width="7.28125" style="0" customWidth="1"/>
    <col min="9" max="9" width="9.140625" style="0" customWidth="1"/>
    <col min="10" max="10" width="8.57421875" style="49" customWidth="1"/>
    <col min="11" max="11" width="6.7109375" style="0" customWidth="1"/>
  </cols>
  <sheetData>
    <row r="1" ht="12.75"/>
    <row r="2" spans="1:16" ht="51">
      <c r="A2" s="16" t="s">
        <v>118</v>
      </c>
      <c r="B2" s="16" t="s">
        <v>1</v>
      </c>
      <c r="C2" s="16" t="s">
        <v>119</v>
      </c>
      <c r="D2" s="16" t="s">
        <v>2</v>
      </c>
      <c r="E2" s="18" t="s">
        <v>115</v>
      </c>
      <c r="F2" s="18" t="s">
        <v>116</v>
      </c>
      <c r="G2" s="16" t="s">
        <v>0</v>
      </c>
      <c r="H2" s="17" t="s">
        <v>94</v>
      </c>
      <c r="I2" s="80" t="s">
        <v>201</v>
      </c>
      <c r="J2" s="81"/>
      <c r="K2" s="27" t="s">
        <v>95</v>
      </c>
      <c r="L2" s="17" t="s">
        <v>96</v>
      </c>
      <c r="M2" s="17" t="s">
        <v>97</v>
      </c>
      <c r="N2" s="25" t="s">
        <v>159</v>
      </c>
      <c r="O2" s="20" t="s">
        <v>117</v>
      </c>
      <c r="P2" s="20" t="s">
        <v>120</v>
      </c>
    </row>
    <row r="3" spans="1:15" s="33" customFormat="1" ht="12.75">
      <c r="A3" s="33">
        <v>1</v>
      </c>
      <c r="B3" s="33" t="s">
        <v>182</v>
      </c>
      <c r="D3" s="33" t="s">
        <v>182</v>
      </c>
      <c r="E3" s="33">
        <v>48.63886</v>
      </c>
      <c r="F3" s="33">
        <v>-2.026056</v>
      </c>
      <c r="G3" s="33">
        <v>0</v>
      </c>
      <c r="H3" s="36">
        <v>0</v>
      </c>
      <c r="I3" s="50" t="str">
        <f>INDEX(paramètres!$G$8:$G$14,WEEKDAY(J3))</f>
        <v>mardi</v>
      </c>
      <c r="J3" s="84">
        <f>'début maritime'!J16+3</f>
        <v>42192</v>
      </c>
      <c r="K3" s="36">
        <v>0.75</v>
      </c>
      <c r="M3" s="33">
        <v>2</v>
      </c>
      <c r="N3" s="33" t="s">
        <v>154</v>
      </c>
      <c r="O3" s="33" t="s">
        <v>183</v>
      </c>
    </row>
    <row r="4" spans="1:13" ht="12.75">
      <c r="A4">
        <f aca="true" t="shared" si="0" ref="A4:A9">A3+1</f>
        <v>2</v>
      </c>
      <c r="B4" s="13" t="s">
        <v>185</v>
      </c>
      <c r="C4">
        <v>0</v>
      </c>
      <c r="D4" s="13" t="s">
        <v>184</v>
      </c>
      <c r="E4">
        <v>48.617556</v>
      </c>
      <c r="F4">
        <v>-2.028599</v>
      </c>
      <c r="G4">
        <v>3.66</v>
      </c>
      <c r="H4" s="10">
        <f aca="true" t="shared" si="1" ref="H4:H9">IF(ISNUMBER(C3),e,0)+(G4-G3)/v</f>
        <v>0.030500000000000003</v>
      </c>
      <c r="I4" s="50" t="str">
        <f>INDEX(paramètres!$G$8:$G$14,WEEKDAY(J4))</f>
        <v>jeudi</v>
      </c>
      <c r="J4" s="49">
        <f aca="true" t="shared" si="2" ref="J4:J9">J3+IF(ISNUMBER(M3),M3,0)</f>
        <v>42194</v>
      </c>
      <c r="K4" s="10">
        <f aca="true" t="shared" si="3" ref="K4:K9">H4+IF(ISNUMBER(M3),d,K3+IF(L3=1,p,0))</f>
        <v>0.4471666666666667</v>
      </c>
      <c r="L4">
        <f aca="true" t="shared" si="4" ref="L4:L9">IF(AND(K4&gt;m,K4&lt;m+p),1,"")</f>
      </c>
      <c r="M4">
        <f>IF(K4+H5&gt;f,1,"")</f>
      </c>
    </row>
    <row r="5" spans="1:16" ht="12.75">
      <c r="A5">
        <f t="shared" si="0"/>
        <v>3</v>
      </c>
      <c r="B5" s="26" t="s">
        <v>186</v>
      </c>
      <c r="D5" s="26" t="s">
        <v>187</v>
      </c>
      <c r="E5">
        <v>48.582485</v>
      </c>
      <c r="F5">
        <v>-2.001129</v>
      </c>
      <c r="G5">
        <f>G4+4.95</f>
        <v>8.61</v>
      </c>
      <c r="H5" s="10">
        <f t="shared" si="1"/>
        <v>0.05166666666666666</v>
      </c>
      <c r="I5" s="50" t="str">
        <f>INDEX(paramètres!$G$8:$G$14,WEEKDAY(J5))</f>
        <v>jeudi</v>
      </c>
      <c r="J5" s="49">
        <f t="shared" si="2"/>
        <v>42194</v>
      </c>
      <c r="K5" s="10">
        <f t="shared" si="3"/>
        <v>0.49883333333333335</v>
      </c>
      <c r="L5">
        <f t="shared" si="4"/>
      </c>
      <c r="M5">
        <f>IF(K5+H6&gt;f,1,"")</f>
      </c>
      <c r="P5" s="13" t="s">
        <v>196</v>
      </c>
    </row>
    <row r="6" spans="1:13" ht="12.75">
      <c r="A6">
        <f t="shared" si="0"/>
        <v>4</v>
      </c>
      <c r="B6" s="26" t="s">
        <v>188</v>
      </c>
      <c r="D6" s="26" t="s">
        <v>189</v>
      </c>
      <c r="E6">
        <v>48.535341</v>
      </c>
      <c r="F6">
        <v>-1.971237</v>
      </c>
      <c r="G6">
        <f>G5+6.9</f>
        <v>15.51</v>
      </c>
      <c r="H6" s="10">
        <f t="shared" si="1"/>
        <v>0.0575</v>
      </c>
      <c r="I6" s="50" t="str">
        <f>INDEX(paramètres!$G$8:$G$14,WEEKDAY(J6))</f>
        <v>jeudi</v>
      </c>
      <c r="J6" s="49">
        <f t="shared" si="2"/>
        <v>42194</v>
      </c>
      <c r="K6" s="10">
        <f t="shared" si="3"/>
        <v>0.5563333333333333</v>
      </c>
      <c r="L6">
        <f t="shared" si="4"/>
        <v>1</v>
      </c>
      <c r="M6">
        <f>IF(K6+H7&gt;f,1,"")</f>
      </c>
    </row>
    <row r="7" spans="1:16" s="33" customFormat="1" ht="12.75">
      <c r="A7" s="33">
        <f t="shared" si="0"/>
        <v>5</v>
      </c>
      <c r="B7" s="26" t="s">
        <v>197</v>
      </c>
      <c r="D7" s="33" t="s">
        <v>195</v>
      </c>
      <c r="E7" s="23">
        <v>48.52566</v>
      </c>
      <c r="F7" s="33">
        <v>-1.986207</v>
      </c>
      <c r="G7" s="33">
        <f>G6+1.92</f>
        <v>17.43</v>
      </c>
      <c r="H7" s="36">
        <f t="shared" si="1"/>
        <v>0.016</v>
      </c>
      <c r="I7" s="50" t="str">
        <f>INDEX(paramètres!$G$8:$G$14,WEEKDAY(J7))</f>
        <v>jeudi</v>
      </c>
      <c r="J7" s="48">
        <f t="shared" si="2"/>
        <v>42194</v>
      </c>
      <c r="K7" s="36">
        <f t="shared" si="3"/>
        <v>0.6556666666666667</v>
      </c>
      <c r="L7" s="33">
        <f t="shared" si="4"/>
      </c>
      <c r="M7" s="33">
        <v>2</v>
      </c>
      <c r="N7" s="23" t="s">
        <v>154</v>
      </c>
      <c r="P7" s="23" t="s">
        <v>206</v>
      </c>
    </row>
    <row r="8" spans="1:14" ht="12.75">
      <c r="A8">
        <f t="shared" si="0"/>
        <v>6</v>
      </c>
      <c r="B8" s="26" t="s">
        <v>198</v>
      </c>
      <c r="D8" s="13" t="s">
        <v>200</v>
      </c>
      <c r="E8">
        <v>48.512307</v>
      </c>
      <c r="F8">
        <v>-1.976623</v>
      </c>
      <c r="G8">
        <f>G7+1.94</f>
        <v>19.37</v>
      </c>
      <c r="H8" s="10">
        <f t="shared" si="1"/>
        <v>0.016166666666666676</v>
      </c>
      <c r="I8" s="50" t="str">
        <f>INDEX(paramètres!$G$8:$G$14,WEEKDAY(J8))</f>
        <v>samedi</v>
      </c>
      <c r="J8" s="49">
        <f t="shared" si="2"/>
        <v>42196</v>
      </c>
      <c r="K8" s="10">
        <f t="shared" si="3"/>
        <v>0.43283333333333335</v>
      </c>
      <c r="L8">
        <f t="shared" si="4"/>
      </c>
      <c r="N8" s="13" t="s">
        <v>199</v>
      </c>
    </row>
    <row r="9" spans="1:13" ht="12.75">
      <c r="A9">
        <f t="shared" si="0"/>
        <v>7</v>
      </c>
      <c r="B9" t="s">
        <v>66</v>
      </c>
      <c r="C9">
        <v>48</v>
      </c>
      <c r="D9" t="s">
        <v>67</v>
      </c>
      <c r="E9">
        <v>48.491747</v>
      </c>
      <c r="F9">
        <v>-2.001821</v>
      </c>
      <c r="G9">
        <f>G8+4.31</f>
        <v>23.68</v>
      </c>
      <c r="H9" s="10">
        <f t="shared" si="1"/>
        <v>0.03591666666666666</v>
      </c>
      <c r="I9" s="50" t="str">
        <f>INDEX(paramètres!$G$8:$G$14,WEEKDAY(J9))</f>
        <v>samedi</v>
      </c>
      <c r="J9" s="49">
        <f t="shared" si="2"/>
        <v>42196</v>
      </c>
      <c r="K9" s="10">
        <f t="shared" si="3"/>
        <v>0.46875</v>
      </c>
      <c r="L9">
        <f t="shared" si="4"/>
      </c>
      <c r="M9">
        <f aca="true" t="shared" si="5" ref="M9:M25">IF(K9+H10&gt;f,1,"")</f>
      </c>
    </row>
    <row r="10" spans="8:13" ht="12.75">
      <c r="H10" s="10"/>
      <c r="I10" s="10"/>
      <c r="K10" s="10"/>
      <c r="M10">
        <f t="shared" si="5"/>
      </c>
    </row>
    <row r="11" spans="8:13" ht="12.75">
      <c r="H11" s="10"/>
      <c r="I11" s="10"/>
      <c r="K11" s="10"/>
      <c r="M11">
        <f t="shared" si="5"/>
      </c>
    </row>
    <row r="12" spans="8:13" ht="12.75">
      <c r="H12" s="10"/>
      <c r="I12" s="10"/>
      <c r="K12" s="10"/>
      <c r="M12">
        <f t="shared" si="5"/>
      </c>
    </row>
    <row r="13" spans="8:13" ht="12.75">
      <c r="H13" s="10"/>
      <c r="I13" s="10"/>
      <c r="K13" s="10"/>
      <c r="M13">
        <f t="shared" si="5"/>
      </c>
    </row>
    <row r="14" spans="8:13" ht="12.75">
      <c r="H14" s="10"/>
      <c r="I14" s="10"/>
      <c r="K14" s="10"/>
      <c r="M14">
        <f t="shared" si="5"/>
      </c>
    </row>
    <row r="15" spans="8:13" ht="12.75">
      <c r="H15" s="10"/>
      <c r="I15" s="10"/>
      <c r="K15" s="10"/>
      <c r="M15">
        <f t="shared" si="5"/>
      </c>
    </row>
    <row r="16" spans="8:13" ht="12.75">
      <c r="H16" s="10"/>
      <c r="I16" s="10"/>
      <c r="K16" s="10"/>
      <c r="M16">
        <f t="shared" si="5"/>
      </c>
    </row>
    <row r="17" spans="8:13" ht="12.75">
      <c r="H17" s="10"/>
      <c r="I17" s="10"/>
      <c r="K17" s="10"/>
      <c r="M17">
        <f t="shared" si="5"/>
      </c>
    </row>
    <row r="18" spans="8:13" ht="12.75">
      <c r="H18" s="10"/>
      <c r="I18" s="10"/>
      <c r="K18" s="10"/>
      <c r="M18">
        <f t="shared" si="5"/>
      </c>
    </row>
    <row r="19" spans="8:13" ht="12.75">
      <c r="H19" s="10"/>
      <c r="I19" s="10"/>
      <c r="K19" s="10"/>
      <c r="M19">
        <f t="shared" si="5"/>
      </c>
    </row>
    <row r="20" spans="8:13" ht="12.75">
      <c r="H20" s="10"/>
      <c r="I20" s="10"/>
      <c r="K20" s="10"/>
      <c r="M20">
        <f t="shared" si="5"/>
      </c>
    </row>
    <row r="21" spans="8:13" ht="12.75">
      <c r="H21" s="10"/>
      <c r="I21" s="10"/>
      <c r="K21" s="10"/>
      <c r="M21">
        <f t="shared" si="5"/>
      </c>
    </row>
    <row r="22" spans="8:13" ht="12.75">
      <c r="H22" s="10"/>
      <c r="I22" s="10"/>
      <c r="K22" s="10"/>
      <c r="M22">
        <f t="shared" si="5"/>
      </c>
    </row>
    <row r="23" spans="8:13" ht="12.75">
      <c r="H23" s="10"/>
      <c r="I23" s="10"/>
      <c r="K23" s="10"/>
      <c r="M23">
        <f t="shared" si="5"/>
      </c>
    </row>
    <row r="24" spans="8:13" ht="12.75">
      <c r="H24" s="10"/>
      <c r="I24" s="10"/>
      <c r="K24" s="10"/>
      <c r="M24">
        <f t="shared" si="5"/>
      </c>
    </row>
    <row r="25" spans="8:13" ht="12.75">
      <c r="H25" s="10"/>
      <c r="I25" s="10"/>
      <c r="K25" s="10"/>
      <c r="M25">
        <f t="shared" si="5"/>
      </c>
    </row>
    <row r="26" spans="8:11" ht="12.75">
      <c r="H26" s="10"/>
      <c r="I26" s="10"/>
      <c r="K26" s="10"/>
    </row>
    <row r="27" spans="8:11" ht="12.75">
      <c r="H27" s="10"/>
      <c r="I27" s="10"/>
      <c r="K27" s="10"/>
    </row>
    <row r="28" spans="8:11" ht="12.75">
      <c r="H28" s="10"/>
      <c r="I28" s="10"/>
      <c r="K28" s="10"/>
    </row>
    <row r="29" spans="8:11" ht="12.75">
      <c r="H29" s="10"/>
      <c r="I29" s="10"/>
      <c r="K29" s="10"/>
    </row>
    <row r="30" spans="8:11" ht="12.75">
      <c r="H30" s="10"/>
      <c r="I30" s="10"/>
      <c r="K30" s="10"/>
    </row>
    <row r="31" spans="8:11" ht="12.75">
      <c r="H31" s="10"/>
      <c r="I31" s="10"/>
      <c r="K31" s="10"/>
    </row>
    <row r="32" spans="8:11" ht="12.75">
      <c r="H32" s="10"/>
      <c r="I32" s="10"/>
      <c r="K32" s="10"/>
    </row>
    <row r="33" spans="8:11" ht="12.75">
      <c r="H33" s="10"/>
      <c r="I33" s="10"/>
      <c r="K33" s="10"/>
    </row>
    <row r="34" spans="8:11" ht="12.75">
      <c r="H34" s="10"/>
      <c r="I34" s="10"/>
      <c r="K34" s="10"/>
    </row>
    <row r="35" spans="8:11" ht="12.75">
      <c r="H35" s="10"/>
      <c r="I35" s="10"/>
      <c r="K35" s="10"/>
    </row>
    <row r="36" spans="8:11" ht="12.75">
      <c r="H36" s="10"/>
      <c r="I36" s="10"/>
      <c r="K36" s="10"/>
    </row>
    <row r="37" spans="8:11" ht="12.75">
      <c r="H37" s="10"/>
      <c r="I37" s="10"/>
      <c r="K37" s="10"/>
    </row>
    <row r="38" spans="8:11" ht="12.75">
      <c r="H38" s="10"/>
      <c r="I38" s="10"/>
      <c r="K38" s="10"/>
    </row>
    <row r="39" spans="8:11" ht="12.75">
      <c r="H39" s="10"/>
      <c r="I39" s="10"/>
      <c r="K39" s="10"/>
    </row>
    <row r="40" spans="8:11" ht="12.75">
      <c r="H40" s="10"/>
      <c r="I40" s="10"/>
      <c r="K40" s="10"/>
    </row>
    <row r="41" spans="8:11" ht="12.75">
      <c r="H41" s="10"/>
      <c r="I41" s="10"/>
      <c r="K41" s="10"/>
    </row>
    <row r="42" spans="8:11" ht="12.75">
      <c r="H42" s="10"/>
      <c r="I42" s="10"/>
      <c r="K42" s="10"/>
    </row>
    <row r="43" spans="8:11" ht="12.75">
      <c r="H43" s="10"/>
      <c r="I43" s="10"/>
      <c r="K43" s="10"/>
    </row>
    <row r="44" spans="8:11" ht="12.75">
      <c r="H44" s="10"/>
      <c r="I44" s="10"/>
      <c r="K44" s="10"/>
    </row>
    <row r="45" spans="8:11" ht="12.75">
      <c r="H45" s="10"/>
      <c r="I45" s="10"/>
      <c r="K45" s="10"/>
    </row>
    <row r="46" spans="8:11" ht="12.75">
      <c r="H46" s="10"/>
      <c r="I46" s="10"/>
      <c r="K46" s="10"/>
    </row>
    <row r="47" spans="8:11" ht="12.75">
      <c r="H47" s="10"/>
      <c r="I47" s="10"/>
      <c r="K47" s="10"/>
    </row>
    <row r="48" spans="8:11" ht="12.75">
      <c r="H48" s="10"/>
      <c r="I48" s="10"/>
      <c r="K48" s="10"/>
    </row>
    <row r="49" spans="8:11" ht="12.75">
      <c r="H49" s="10"/>
      <c r="I49" s="10"/>
      <c r="K49" s="10"/>
    </row>
    <row r="50" spans="8:11" ht="12.75">
      <c r="H50" s="10"/>
      <c r="I50" s="10"/>
      <c r="K50" s="10"/>
    </row>
    <row r="51" spans="8:11" ht="12.75">
      <c r="H51" s="10"/>
      <c r="I51" s="10"/>
      <c r="K51" s="10"/>
    </row>
    <row r="52" spans="8:11" ht="12.75">
      <c r="H52" s="10"/>
      <c r="I52" s="10"/>
      <c r="K52" s="10"/>
    </row>
    <row r="53" spans="8:11" ht="12.75">
      <c r="H53" s="10"/>
      <c r="I53" s="10"/>
      <c r="K53" s="10"/>
    </row>
    <row r="54" spans="8:11" ht="12.75">
      <c r="H54" s="10"/>
      <c r="I54" s="10"/>
      <c r="K54" s="10"/>
    </row>
    <row r="55" spans="8:11" ht="12.75">
      <c r="H55" s="10"/>
      <c r="I55" s="10"/>
      <c r="K55" s="10"/>
    </row>
    <row r="56" spans="8:11" ht="12.75">
      <c r="H56" s="10"/>
      <c r="I56" s="10"/>
      <c r="K56" s="10"/>
    </row>
    <row r="57" spans="8:11" ht="12.75">
      <c r="H57" s="10"/>
      <c r="I57" s="10"/>
      <c r="K57" s="10"/>
    </row>
  </sheetData>
  <sheetProtection/>
  <mergeCells count="1">
    <mergeCell ref="I2:J2"/>
  </mergeCells>
  <conditionalFormatting sqref="A1:IV1 A3:IV65536 K2:IV2 A2:I2">
    <cfRule type="expression" priority="1" dxfId="0" stopIfTrue="1">
      <formula>ISNUMBER(INDIRECT(ADDRESS(ROW(),13)))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ySplit="2" topLeftCell="A41" activePane="bottomLeft" state="frozen"/>
      <selection pane="topLeft" activeCell="A1" sqref="A1"/>
      <selection pane="bottomLeft" activeCell="M55" sqref="M55"/>
    </sheetView>
  </sheetViews>
  <sheetFormatPr defaultColWidth="9.140625" defaultRowHeight="12.75"/>
  <cols>
    <col min="1" max="1" width="7.7109375" style="0" customWidth="1"/>
    <col min="2" max="2" width="28.00390625" style="0" bestFit="1" customWidth="1"/>
    <col min="3" max="3" width="6.28125" style="0" customWidth="1"/>
    <col min="4" max="4" width="22.00390625" style="0" bestFit="1" customWidth="1"/>
    <col min="5" max="6" width="9.7109375" style="0" hidden="1" customWidth="1"/>
    <col min="7" max="7" width="6.00390625" style="1" customWidth="1"/>
    <col min="8" max="8" width="7.28125" style="0" customWidth="1"/>
    <col min="9" max="9" width="9.8515625" style="0" customWidth="1"/>
    <col min="10" max="10" width="7.8515625" style="49" customWidth="1"/>
    <col min="11" max="11" width="6.7109375" style="0" customWidth="1"/>
    <col min="12" max="12" width="6.28125" style="0" customWidth="1"/>
    <col min="13" max="14" width="7.421875" style="0" customWidth="1"/>
    <col min="15" max="15" width="9.140625" style="0" customWidth="1"/>
    <col min="16" max="16" width="25.57421875" style="0" customWidth="1"/>
    <col min="17" max="17" width="23.57421875" style="0" customWidth="1"/>
  </cols>
  <sheetData>
    <row r="1" ht="12.75">
      <c r="D1" s="21" t="s">
        <v>181</v>
      </c>
    </row>
    <row r="2" spans="1:17" s="19" customFormat="1" ht="32.25" customHeight="1">
      <c r="A2" s="16" t="s">
        <v>118</v>
      </c>
      <c r="B2" s="16" t="s">
        <v>1</v>
      </c>
      <c r="C2" s="16" t="s">
        <v>119</v>
      </c>
      <c r="D2" s="16" t="s">
        <v>2</v>
      </c>
      <c r="E2" s="18" t="s">
        <v>115</v>
      </c>
      <c r="F2" s="18" t="s">
        <v>116</v>
      </c>
      <c r="G2" s="16" t="s">
        <v>0</v>
      </c>
      <c r="H2" s="17" t="s">
        <v>94</v>
      </c>
      <c r="I2" s="80" t="s">
        <v>201</v>
      </c>
      <c r="J2" s="81"/>
      <c r="K2" s="17" t="s">
        <v>95</v>
      </c>
      <c r="L2" s="17" t="s">
        <v>96</v>
      </c>
      <c r="M2" s="17" t="s">
        <v>97</v>
      </c>
      <c r="N2" s="25" t="s">
        <v>159</v>
      </c>
      <c r="O2" s="20" t="s">
        <v>117</v>
      </c>
      <c r="P2" s="20" t="s">
        <v>120</v>
      </c>
      <c r="Q2" s="20" t="s">
        <v>212</v>
      </c>
    </row>
    <row r="3" spans="1:14" ht="12.75">
      <c r="A3">
        <v>1</v>
      </c>
      <c r="B3" t="s">
        <v>66</v>
      </c>
      <c r="C3">
        <v>48</v>
      </c>
      <c r="D3" t="s">
        <v>67</v>
      </c>
      <c r="E3">
        <v>48.491747</v>
      </c>
      <c r="F3">
        <v>-2.001821</v>
      </c>
      <c r="G3" s="1">
        <v>0</v>
      </c>
      <c r="H3" s="10">
        <v>0</v>
      </c>
      <c r="I3" s="51" t="str">
        <f>INDEX(paramètres!$G$8:$G$14,WEEKDAY(J3))</f>
        <v>samedi</v>
      </c>
      <c r="J3" s="49">
        <f>'Rance maritime'!J9</f>
        <v>42196</v>
      </c>
      <c r="K3" s="10">
        <f>'Rance maritime'!K9</f>
        <v>0.46875</v>
      </c>
      <c r="L3">
        <f aca="true" t="shared" si="0" ref="L3:L56">IF(AND(K3&gt;m,K3&lt;m+p),1,"")</f>
      </c>
      <c r="N3" t="s">
        <v>158</v>
      </c>
    </row>
    <row r="4" spans="1:16" s="33" customFormat="1" ht="12.75">
      <c r="A4" s="33">
        <f>A3+1</f>
        <v>2</v>
      </c>
      <c r="B4" s="33" t="s">
        <v>64</v>
      </c>
      <c r="C4" s="33">
        <v>47</v>
      </c>
      <c r="D4" s="33" t="s">
        <v>65</v>
      </c>
      <c r="E4" s="34">
        <v>48.444684</v>
      </c>
      <c r="F4" s="34">
        <v>-2.039623</v>
      </c>
      <c r="G4" s="35">
        <v>7.967000000000013</v>
      </c>
      <c r="H4" s="36">
        <f aca="true" t="shared" si="1" ref="H4:H35">IF(ISNUMBER(C3),e,0)+(G4-G3)/v</f>
        <v>0.07680833333333345</v>
      </c>
      <c r="I4" s="51" t="str">
        <f>INDEX(paramètres!$G$8:$G$14,WEEKDAY(J4))</f>
        <v>samedi</v>
      </c>
      <c r="J4" s="48">
        <f>J3+IF(ISNUMBER(M3),M3,0)</f>
        <v>42196</v>
      </c>
      <c r="K4" s="36">
        <f aca="true" t="shared" si="2" ref="K4:K56">H4+IF(ISNUMBER(M3),d,K3+IF(L3=1,p,0))</f>
        <v>0.5455583333333335</v>
      </c>
      <c r="L4" s="33">
        <f t="shared" si="0"/>
        <v>1</v>
      </c>
      <c r="M4" s="33">
        <v>1</v>
      </c>
      <c r="N4" s="33" t="s">
        <v>154</v>
      </c>
      <c r="O4" s="33">
        <v>1</v>
      </c>
      <c r="P4" s="23"/>
    </row>
    <row r="5" spans="1:13" ht="12.75">
      <c r="A5">
        <f aca="true" t="shared" si="3" ref="A5:A57">A4+1</f>
        <v>3</v>
      </c>
      <c r="B5" t="s">
        <v>62</v>
      </c>
      <c r="C5">
        <v>46</v>
      </c>
      <c r="D5" t="s">
        <v>63</v>
      </c>
      <c r="E5" s="15">
        <v>48.42739</v>
      </c>
      <c r="F5" s="15">
        <v>-2.027187</v>
      </c>
      <c r="G5" s="1">
        <v>10.671000000000006</v>
      </c>
      <c r="H5" s="10">
        <f t="shared" si="1"/>
        <v>0.032949999999999945</v>
      </c>
      <c r="I5" s="51" t="str">
        <f>INDEX(paramètres!$G$8:$G$14,WEEKDAY(J5))</f>
        <v>dimanche</v>
      </c>
      <c r="J5" s="48">
        <f>J4+IF(ISNUMBER(M4),M4,0)</f>
        <v>42197</v>
      </c>
      <c r="K5" s="10">
        <f>H5+IF(ISNUMBER(M4),dt,K4+IF(L4=1,p,0))</f>
        <v>0.4079499999999999</v>
      </c>
      <c r="L5">
        <f t="shared" si="0"/>
      </c>
      <c r="M5">
        <f aca="true" t="shared" si="4" ref="M5:M33">IF(K5+H6&gt;f,1,"")</f>
      </c>
    </row>
    <row r="6" spans="1:13" ht="12.75">
      <c r="A6">
        <f t="shared" si="3"/>
        <v>4</v>
      </c>
      <c r="B6" t="s">
        <v>60</v>
      </c>
      <c r="C6">
        <v>45</v>
      </c>
      <c r="D6" t="s">
        <v>61</v>
      </c>
      <c r="E6" s="15">
        <v>48.418061</v>
      </c>
      <c r="F6" s="15">
        <v>-2.014579</v>
      </c>
      <c r="G6" s="1">
        <v>12.953000000000003</v>
      </c>
      <c r="H6" s="10">
        <f t="shared" si="1"/>
        <v>0.029433333333333304</v>
      </c>
      <c r="I6" s="51" t="str">
        <f>INDEX(paramètres!$G$8:$G$14,WEEKDAY(J6))</f>
        <v>dimanche</v>
      </c>
      <c r="J6" s="49">
        <f aca="true" t="shared" si="5" ref="J6:J56">J5+IF(ISNUMBER(M5),M5,0)</f>
        <v>42197</v>
      </c>
      <c r="K6" s="10">
        <f t="shared" si="2"/>
        <v>0.43738333333333324</v>
      </c>
      <c r="L6">
        <f t="shared" si="0"/>
      </c>
      <c r="M6">
        <f t="shared" si="4"/>
      </c>
    </row>
    <row r="7" spans="1:13" ht="12.75">
      <c r="A7">
        <f t="shared" si="3"/>
        <v>5</v>
      </c>
      <c r="B7" t="s">
        <v>59</v>
      </c>
      <c r="C7">
        <v>44</v>
      </c>
      <c r="D7" t="s">
        <v>57</v>
      </c>
      <c r="E7" s="15">
        <v>48.402382</v>
      </c>
      <c r="F7" s="15">
        <v>-2.006976</v>
      </c>
      <c r="G7" s="1">
        <v>14.841000000000008</v>
      </c>
      <c r="H7" s="10">
        <f t="shared" si="1"/>
        <v>0.02615000000000004</v>
      </c>
      <c r="I7" s="51" t="str">
        <f>INDEX(paramètres!$G$8:$G$14,WEEKDAY(J7))</f>
        <v>dimanche</v>
      </c>
      <c r="J7" s="49">
        <f t="shared" si="5"/>
        <v>42197</v>
      </c>
      <c r="K7" s="10">
        <f t="shared" si="2"/>
        <v>0.4635333333333333</v>
      </c>
      <c r="L7">
        <f t="shared" si="0"/>
      </c>
      <c r="M7">
        <f t="shared" si="4"/>
      </c>
    </row>
    <row r="8" spans="1:13" ht="12.75">
      <c r="A8">
        <f t="shared" si="3"/>
        <v>6</v>
      </c>
      <c r="B8" t="s">
        <v>58</v>
      </c>
      <c r="C8">
        <v>43</v>
      </c>
      <c r="D8" t="s">
        <v>57</v>
      </c>
      <c r="E8" s="15">
        <v>48.385027</v>
      </c>
      <c r="F8" s="15">
        <v>-1.995701</v>
      </c>
      <c r="G8" s="1">
        <v>17.03800000000001</v>
      </c>
      <c r="H8" s="10">
        <f t="shared" si="1"/>
        <v>0.02872500000000002</v>
      </c>
      <c r="I8" s="51" t="str">
        <f>INDEX(paramètres!$G$8:$G$14,WEEKDAY(J8))</f>
        <v>dimanche</v>
      </c>
      <c r="J8" s="49">
        <f t="shared" si="5"/>
        <v>42197</v>
      </c>
      <c r="K8" s="10">
        <f t="shared" si="2"/>
        <v>0.4922583333333333</v>
      </c>
      <c r="L8">
        <f t="shared" si="0"/>
      </c>
      <c r="M8">
        <f t="shared" si="4"/>
      </c>
    </row>
    <row r="9" spans="1:17" ht="12.75">
      <c r="A9">
        <f t="shared" si="3"/>
        <v>7</v>
      </c>
      <c r="B9" t="s">
        <v>56</v>
      </c>
      <c r="C9">
        <v>42</v>
      </c>
      <c r="D9" t="s">
        <v>57</v>
      </c>
      <c r="E9" s="15">
        <v>48.3840879999999</v>
      </c>
      <c r="F9" s="15">
        <v>-1.980873</v>
      </c>
      <c r="G9" s="1">
        <v>18.412000000000006</v>
      </c>
      <c r="H9" s="10">
        <f t="shared" si="1"/>
        <v>0.021866666666666625</v>
      </c>
      <c r="I9" s="51" t="str">
        <f>INDEX(paramètres!$G$8:$G$14,WEEKDAY(J9))</f>
        <v>dimanche</v>
      </c>
      <c r="J9" s="49">
        <f t="shared" si="5"/>
        <v>42197</v>
      </c>
      <c r="K9" s="10">
        <f t="shared" si="2"/>
        <v>0.5141249999999999</v>
      </c>
      <c r="L9">
        <f t="shared" si="0"/>
      </c>
      <c r="M9">
        <f t="shared" si="4"/>
      </c>
      <c r="N9" t="s">
        <v>158</v>
      </c>
      <c r="Q9" s="32" t="s">
        <v>214</v>
      </c>
    </row>
    <row r="10" spans="1:13" ht="12.75">
      <c r="A10">
        <f t="shared" si="3"/>
        <v>8</v>
      </c>
      <c r="B10" t="s">
        <v>55</v>
      </c>
      <c r="C10">
        <v>41</v>
      </c>
      <c r="D10" t="s">
        <v>53</v>
      </c>
      <c r="E10" s="15">
        <v>48.3779</v>
      </c>
      <c r="F10" s="15">
        <v>-1.936026</v>
      </c>
      <c r="G10" s="1">
        <v>22.407000000000004</v>
      </c>
      <c r="H10" s="10">
        <f t="shared" si="1"/>
        <v>0.04370833333333331</v>
      </c>
      <c r="I10" s="51" t="str">
        <f>INDEX(paramètres!$G$8:$G$14,WEEKDAY(J10))</f>
        <v>dimanche</v>
      </c>
      <c r="J10" s="49">
        <f t="shared" si="5"/>
        <v>42197</v>
      </c>
      <c r="K10" s="10">
        <f t="shared" si="2"/>
        <v>0.5578333333333333</v>
      </c>
      <c r="L10">
        <f t="shared" si="0"/>
        <v>1</v>
      </c>
      <c r="M10">
        <f t="shared" si="4"/>
      </c>
    </row>
    <row r="11" spans="1:14" ht="12.75">
      <c r="A11">
        <f t="shared" si="3"/>
        <v>9</v>
      </c>
      <c r="B11" t="s">
        <v>53</v>
      </c>
      <c r="D11" t="s">
        <v>53</v>
      </c>
      <c r="E11" s="15">
        <v>48.372017</v>
      </c>
      <c r="F11" s="15">
        <v>-1.929143</v>
      </c>
      <c r="G11" s="1">
        <f>G10+0.92</f>
        <v>23.327000000000005</v>
      </c>
      <c r="H11" s="10">
        <f t="shared" si="1"/>
        <v>0.018083333333333347</v>
      </c>
      <c r="I11" s="51" t="str">
        <f>INDEX(paramètres!$G$8:$G$14,WEEKDAY(J11))</f>
        <v>dimanche</v>
      </c>
      <c r="J11" s="49">
        <f t="shared" si="5"/>
        <v>42197</v>
      </c>
      <c r="K11" s="10">
        <f>H11+IF(ISNUMBER(M10),d,K10+IF(L10=1,pc,0))</f>
        <v>0.6175833333333333</v>
      </c>
      <c r="L11">
        <f t="shared" si="0"/>
      </c>
      <c r="M11">
        <f t="shared" si="4"/>
      </c>
      <c r="N11" t="s">
        <v>158</v>
      </c>
    </row>
    <row r="12" spans="1:13" ht="12.75">
      <c r="A12">
        <f t="shared" si="3"/>
        <v>10</v>
      </c>
      <c r="B12" t="s">
        <v>54</v>
      </c>
      <c r="C12">
        <v>40</v>
      </c>
      <c r="D12" t="s">
        <v>53</v>
      </c>
      <c r="E12" s="15">
        <v>48.373212</v>
      </c>
      <c r="F12" s="15">
        <v>-1.920912</v>
      </c>
      <c r="G12" s="1">
        <v>23.927000000000007</v>
      </c>
      <c r="H12" s="10">
        <f t="shared" si="1"/>
        <v>0.005000000000000012</v>
      </c>
      <c r="I12" s="51" t="str">
        <f>INDEX(paramètres!$G$8:$G$14,WEEKDAY(J12))</f>
        <v>dimanche</v>
      </c>
      <c r="J12" s="49">
        <f t="shared" si="5"/>
        <v>42197</v>
      </c>
      <c r="K12" s="10">
        <f t="shared" si="2"/>
        <v>0.6225833333333333</v>
      </c>
      <c r="L12">
        <f t="shared" si="0"/>
      </c>
      <c r="M12">
        <f t="shared" si="4"/>
      </c>
    </row>
    <row r="13" spans="1:13" ht="12.75">
      <c r="A13">
        <f t="shared" si="3"/>
        <v>11</v>
      </c>
      <c r="B13" t="s">
        <v>9</v>
      </c>
      <c r="C13">
        <v>39</v>
      </c>
      <c r="D13" t="s">
        <v>53</v>
      </c>
      <c r="E13" s="15">
        <v>48.374426</v>
      </c>
      <c r="F13" s="15">
        <v>-1.916548</v>
      </c>
      <c r="G13" s="1">
        <v>24.28</v>
      </c>
      <c r="H13" s="10">
        <f t="shared" si="1"/>
        <v>0.013358333333333286</v>
      </c>
      <c r="I13" s="51" t="str">
        <f>INDEX(paramètres!$G$8:$G$14,WEEKDAY(J13))</f>
        <v>dimanche</v>
      </c>
      <c r="J13" s="49">
        <f t="shared" si="5"/>
        <v>42197</v>
      </c>
      <c r="K13" s="10">
        <f t="shared" si="2"/>
        <v>0.6359416666666665</v>
      </c>
      <c r="L13">
        <f t="shared" si="0"/>
      </c>
      <c r="M13">
        <f>IF(K13+H15&gt;f,1,"")</f>
      </c>
    </row>
    <row r="14" spans="1:14" ht="12.75">
      <c r="A14">
        <f t="shared" si="3"/>
        <v>12</v>
      </c>
      <c r="B14" t="s">
        <v>160</v>
      </c>
      <c r="D14" t="s">
        <v>51</v>
      </c>
      <c r="E14" s="15">
        <v>48.379336</v>
      </c>
      <c r="F14" s="15">
        <v>-1.882154</v>
      </c>
      <c r="G14" s="1">
        <f>G13+3.07</f>
        <v>27.35</v>
      </c>
      <c r="H14" s="10">
        <f t="shared" si="1"/>
        <v>0.036000000000000004</v>
      </c>
      <c r="I14" s="51" t="str">
        <f>INDEX(paramètres!$G$8:$G$14,WEEKDAY(J14))</f>
        <v>dimanche</v>
      </c>
      <c r="J14" s="49">
        <f t="shared" si="5"/>
        <v>42197</v>
      </c>
      <c r="K14" s="10">
        <f t="shared" si="2"/>
        <v>0.6719416666666665</v>
      </c>
      <c r="M14">
        <f aca="true" t="shared" si="6" ref="M14:M19">IF(K14+H16&gt;ft,1,"")</f>
      </c>
      <c r="N14" t="s">
        <v>158</v>
      </c>
    </row>
    <row r="15" spans="1:13" ht="12.75">
      <c r="A15">
        <f t="shared" si="3"/>
        <v>13</v>
      </c>
      <c r="B15" t="s">
        <v>52</v>
      </c>
      <c r="C15">
        <v>38</v>
      </c>
      <c r="D15" t="s">
        <v>51</v>
      </c>
      <c r="E15" s="15">
        <v>48.380023</v>
      </c>
      <c r="F15" s="15">
        <v>-1.870688</v>
      </c>
      <c r="G15" s="1">
        <v>28.24</v>
      </c>
      <c r="H15" s="10">
        <f t="shared" si="1"/>
        <v>0.007416666666666642</v>
      </c>
      <c r="I15" s="51" t="str">
        <f>INDEX(paramètres!$G$8:$G$14,WEEKDAY(J15))</f>
        <v>dimanche</v>
      </c>
      <c r="J15" s="49">
        <f t="shared" si="5"/>
        <v>42197</v>
      </c>
      <c r="K15" s="10">
        <f>H15+IF(ISNUMBER(M14),dt,K14+IF(L14=1,p,0))</f>
        <v>0.6793583333333332</v>
      </c>
      <c r="L15">
        <f t="shared" si="0"/>
      </c>
      <c r="M15">
        <f t="shared" si="6"/>
      </c>
    </row>
    <row r="16" spans="1:13" ht="12.75">
      <c r="A16">
        <f t="shared" si="3"/>
        <v>14</v>
      </c>
      <c r="B16" t="s">
        <v>50</v>
      </c>
      <c r="C16">
        <v>37</v>
      </c>
      <c r="D16" t="s">
        <v>51</v>
      </c>
      <c r="E16" s="15">
        <v>48.381119</v>
      </c>
      <c r="F16" s="15">
        <v>-1.853138</v>
      </c>
      <c r="G16" s="1">
        <v>30.214000000000006</v>
      </c>
      <c r="H16" s="10">
        <f t="shared" si="1"/>
        <v>0.026866666666666726</v>
      </c>
      <c r="I16" s="51" t="str">
        <f>INDEX(paramètres!$G$8:$G$14,WEEKDAY(J16))</f>
        <v>dimanche</v>
      </c>
      <c r="J16" s="49">
        <f t="shared" si="5"/>
        <v>42197</v>
      </c>
      <c r="K16" s="10">
        <f t="shared" si="2"/>
        <v>0.7062249999999999</v>
      </c>
      <c r="L16">
        <f t="shared" si="0"/>
      </c>
      <c r="M16">
        <f t="shared" si="6"/>
      </c>
    </row>
    <row r="17" spans="1:13" ht="12.75">
      <c r="A17">
        <f t="shared" si="3"/>
        <v>15</v>
      </c>
      <c r="B17" t="s">
        <v>49</v>
      </c>
      <c r="C17">
        <v>36</v>
      </c>
      <c r="D17" t="s">
        <v>47</v>
      </c>
      <c r="E17" s="15">
        <v>48.358924</v>
      </c>
      <c r="F17" s="15">
        <v>-1.837179</v>
      </c>
      <c r="G17" s="1">
        <v>33.983000000000004</v>
      </c>
      <c r="H17" s="10">
        <f t="shared" si="1"/>
        <v>0.04182499999999999</v>
      </c>
      <c r="I17" s="51" t="str">
        <f>INDEX(paramètres!$G$8:$G$14,WEEKDAY(J17))</f>
        <v>dimanche</v>
      </c>
      <c r="J17" s="49">
        <f t="shared" si="5"/>
        <v>42197</v>
      </c>
      <c r="K17" s="10">
        <f t="shared" si="2"/>
        <v>0.7480499999999999</v>
      </c>
      <c r="L17">
        <f t="shared" si="0"/>
      </c>
      <c r="M17">
        <f t="shared" si="6"/>
      </c>
    </row>
    <row r="18" spans="1:13" ht="12.75">
      <c r="A18">
        <f t="shared" si="3"/>
        <v>16</v>
      </c>
      <c r="B18" t="s">
        <v>48</v>
      </c>
      <c r="C18">
        <v>35</v>
      </c>
      <c r="D18" t="s">
        <v>47</v>
      </c>
      <c r="E18" s="15">
        <v>48.352623</v>
      </c>
      <c r="F18" s="15">
        <v>-1.840482</v>
      </c>
      <c r="G18" s="1">
        <v>34.898</v>
      </c>
      <c r="H18" s="10">
        <f t="shared" si="1"/>
        <v>0.018041666666666657</v>
      </c>
      <c r="I18" s="51" t="str">
        <f>INDEX(paramètres!$G$8:$G$14,WEEKDAY(J18))</f>
        <v>dimanche</v>
      </c>
      <c r="J18" s="49">
        <f t="shared" si="5"/>
        <v>42197</v>
      </c>
      <c r="K18" s="10">
        <f t="shared" si="2"/>
        <v>0.7660916666666665</v>
      </c>
      <c r="L18">
        <f t="shared" si="0"/>
      </c>
      <c r="M18">
        <f t="shared" si="6"/>
      </c>
    </row>
    <row r="19" spans="1:13" ht="12.75">
      <c r="A19">
        <f t="shared" si="3"/>
        <v>17</v>
      </c>
      <c r="B19" t="s">
        <v>46</v>
      </c>
      <c r="C19">
        <v>34</v>
      </c>
      <c r="D19" t="s">
        <v>47</v>
      </c>
      <c r="E19" s="15">
        <v>48.344736</v>
      </c>
      <c r="F19" s="15">
        <v>-1.835807</v>
      </c>
      <c r="G19" s="1">
        <v>35.935</v>
      </c>
      <c r="H19" s="10">
        <f t="shared" si="1"/>
        <v>0.019058333333333323</v>
      </c>
      <c r="I19" s="51" t="str">
        <f>INDEX(paramètres!$G$8:$G$14,WEEKDAY(J19))</f>
        <v>dimanche</v>
      </c>
      <c r="J19" s="49">
        <f t="shared" si="5"/>
        <v>42197</v>
      </c>
      <c r="K19" s="10">
        <f t="shared" si="2"/>
        <v>0.7851499999999998</v>
      </c>
      <c r="L19">
        <f t="shared" si="0"/>
      </c>
      <c r="M19">
        <f t="shared" si="6"/>
      </c>
    </row>
    <row r="20" spans="1:17" s="33" customFormat="1" ht="25.5">
      <c r="A20" s="33">
        <f t="shared" si="3"/>
        <v>18</v>
      </c>
      <c r="B20" s="33" t="s">
        <v>45</v>
      </c>
      <c r="C20" s="33">
        <v>33</v>
      </c>
      <c r="D20" s="33" t="s">
        <v>44</v>
      </c>
      <c r="E20" s="34">
        <v>48.330989</v>
      </c>
      <c r="F20" s="34">
        <v>-1.831689</v>
      </c>
      <c r="G20" s="35">
        <v>37.69100000000001</v>
      </c>
      <c r="H20" s="36">
        <f t="shared" si="1"/>
        <v>0.02505000000000006</v>
      </c>
      <c r="I20" s="51" t="str">
        <f>INDEX(paramètres!$G$8:$G$14,WEEKDAY(J20))</f>
        <v>dimanche</v>
      </c>
      <c r="J20" s="48">
        <f t="shared" si="5"/>
        <v>42197</v>
      </c>
      <c r="K20" s="36">
        <f t="shared" si="2"/>
        <v>0.8101999999999998</v>
      </c>
      <c r="L20" s="33">
        <f t="shared" si="0"/>
      </c>
      <c r="M20" s="33">
        <f t="shared" si="4"/>
        <v>1</v>
      </c>
      <c r="N20" s="33" t="s">
        <v>158</v>
      </c>
      <c r="O20" s="33">
        <v>1</v>
      </c>
      <c r="P20" s="33" t="s">
        <v>161</v>
      </c>
      <c r="Q20" s="38" t="s">
        <v>213</v>
      </c>
    </row>
    <row r="21" spans="1:13" ht="12.75">
      <c r="A21">
        <f t="shared" si="3"/>
        <v>19</v>
      </c>
      <c r="B21" t="s">
        <v>43</v>
      </c>
      <c r="C21">
        <v>32</v>
      </c>
      <c r="D21" t="s">
        <v>44</v>
      </c>
      <c r="E21" s="15">
        <v>48.321378</v>
      </c>
      <c r="F21" s="15">
        <v>-1.814588</v>
      </c>
      <c r="G21" s="1">
        <v>39.44</v>
      </c>
      <c r="H21" s="10">
        <f t="shared" si="1"/>
        <v>0.024991666666666565</v>
      </c>
      <c r="I21" s="51" t="str">
        <f>INDEX(paramètres!$G$8:$G$14,WEEKDAY(J21))</f>
        <v>lundi</v>
      </c>
      <c r="J21" s="49">
        <f t="shared" si="5"/>
        <v>42198</v>
      </c>
      <c r="K21" s="10">
        <f t="shared" si="2"/>
        <v>0.44165833333333326</v>
      </c>
      <c r="L21">
        <f t="shared" si="0"/>
      </c>
      <c r="M21">
        <f t="shared" si="4"/>
      </c>
    </row>
    <row r="22" spans="1:13" ht="12.75">
      <c r="A22">
        <f t="shared" si="3"/>
        <v>20</v>
      </c>
      <c r="B22" t="s">
        <v>42</v>
      </c>
      <c r="C22">
        <v>31</v>
      </c>
      <c r="D22" t="s">
        <v>32</v>
      </c>
      <c r="E22" s="15">
        <v>48.308688</v>
      </c>
      <c r="F22" s="15">
        <v>-1.803204</v>
      </c>
      <c r="G22" s="1">
        <v>41.276</v>
      </c>
      <c r="H22" s="10">
        <f t="shared" si="1"/>
        <v>0.025716666666666714</v>
      </c>
      <c r="I22" s="51" t="str">
        <f>INDEX(paramètres!$G$8:$G$14,WEEKDAY(J22))</f>
        <v>lundi</v>
      </c>
      <c r="J22" s="49">
        <f t="shared" si="5"/>
        <v>42198</v>
      </c>
      <c r="K22" s="10">
        <f t="shared" si="2"/>
        <v>0.467375</v>
      </c>
      <c r="L22">
        <f t="shared" si="0"/>
      </c>
      <c r="M22">
        <f t="shared" si="4"/>
      </c>
    </row>
    <row r="23" spans="1:13" ht="12.75">
      <c r="A23">
        <f t="shared" si="3"/>
        <v>21</v>
      </c>
      <c r="B23" t="s">
        <v>41</v>
      </c>
      <c r="C23">
        <v>30</v>
      </c>
      <c r="D23" t="s">
        <v>32</v>
      </c>
      <c r="E23" s="15">
        <v>48.30726</v>
      </c>
      <c r="F23" s="15">
        <v>-1.799146</v>
      </c>
      <c r="G23" s="1">
        <v>41.595</v>
      </c>
      <c r="H23" s="10">
        <f t="shared" si="1"/>
        <v>0.013074999999999962</v>
      </c>
      <c r="I23" s="51" t="str">
        <f>INDEX(paramètres!$G$8:$G$14,WEEKDAY(J23))</f>
        <v>lundi</v>
      </c>
      <c r="J23" s="49">
        <f t="shared" si="5"/>
        <v>42198</v>
      </c>
      <c r="K23" s="10">
        <f t="shared" si="2"/>
        <v>0.48044999999999993</v>
      </c>
      <c r="L23">
        <f t="shared" si="0"/>
      </c>
      <c r="M23">
        <f t="shared" si="4"/>
      </c>
    </row>
    <row r="24" spans="1:13" ht="12.75">
      <c r="A24">
        <f t="shared" si="3"/>
        <v>22</v>
      </c>
      <c r="B24" t="s">
        <v>40</v>
      </c>
      <c r="C24">
        <v>29</v>
      </c>
      <c r="D24" t="s">
        <v>32</v>
      </c>
      <c r="E24" s="15">
        <v>48.306336</v>
      </c>
      <c r="F24" s="15">
        <v>-1.796519</v>
      </c>
      <c r="G24" s="1">
        <v>41.83800000000001</v>
      </c>
      <c r="H24" s="10">
        <f t="shared" si="1"/>
        <v>0.012441666666666743</v>
      </c>
      <c r="I24" s="51" t="str">
        <f>INDEX(paramètres!$G$8:$G$14,WEEKDAY(J24))</f>
        <v>lundi</v>
      </c>
      <c r="J24" s="49">
        <f t="shared" si="5"/>
        <v>42198</v>
      </c>
      <c r="K24" s="10">
        <f t="shared" si="2"/>
        <v>0.4928916666666667</v>
      </c>
      <c r="L24">
        <f t="shared" si="0"/>
      </c>
      <c r="M24">
        <f t="shared" si="4"/>
      </c>
    </row>
    <row r="25" spans="1:13" ht="12.75">
      <c r="A25">
        <f t="shared" si="3"/>
        <v>23</v>
      </c>
      <c r="B25" t="s">
        <v>39</v>
      </c>
      <c r="C25">
        <v>28</v>
      </c>
      <c r="D25" t="s">
        <v>32</v>
      </c>
      <c r="E25" s="15">
        <v>48.305287</v>
      </c>
      <c r="F25" s="15">
        <v>-1.793535</v>
      </c>
      <c r="G25" s="1">
        <v>42.074000000000005</v>
      </c>
      <c r="H25" s="10">
        <f t="shared" si="1"/>
        <v>0.012383333333333309</v>
      </c>
      <c r="I25" s="51" t="str">
        <f>INDEX(paramètres!$G$8:$G$14,WEEKDAY(J25))</f>
        <v>lundi</v>
      </c>
      <c r="J25" s="49">
        <f t="shared" si="5"/>
        <v>42198</v>
      </c>
      <c r="K25" s="10">
        <f t="shared" si="2"/>
        <v>0.505275</v>
      </c>
      <c r="L25">
        <f t="shared" si="0"/>
      </c>
      <c r="M25">
        <f t="shared" si="4"/>
      </c>
    </row>
    <row r="26" spans="1:13" ht="12.75">
      <c r="A26">
        <f t="shared" si="3"/>
        <v>24</v>
      </c>
      <c r="B26" t="s">
        <v>38</v>
      </c>
      <c r="C26">
        <v>27</v>
      </c>
      <c r="D26" t="s">
        <v>32</v>
      </c>
      <c r="E26" s="15">
        <v>48.304408</v>
      </c>
      <c r="F26" s="15">
        <v>-1.791025</v>
      </c>
      <c r="G26" s="1">
        <v>42.272000000000006</v>
      </c>
      <c r="H26" s="10">
        <f t="shared" si="1"/>
        <v>0.01206666666666667</v>
      </c>
      <c r="I26" s="51" t="str">
        <f>INDEX(paramètres!$G$8:$G$14,WEEKDAY(J26))</f>
        <v>lundi</v>
      </c>
      <c r="J26" s="49">
        <f t="shared" si="5"/>
        <v>42198</v>
      </c>
      <c r="K26" s="10">
        <f t="shared" si="2"/>
        <v>0.5173416666666667</v>
      </c>
      <c r="L26">
        <f t="shared" si="0"/>
      </c>
      <c r="M26">
        <f t="shared" si="4"/>
      </c>
    </row>
    <row r="27" spans="1:13" ht="12.75">
      <c r="A27">
        <f t="shared" si="3"/>
        <v>25</v>
      </c>
      <c r="B27" t="s">
        <v>37</v>
      </c>
      <c r="C27">
        <v>26</v>
      </c>
      <c r="D27" t="s">
        <v>32</v>
      </c>
      <c r="E27" s="15">
        <v>48.303697</v>
      </c>
      <c r="F27" s="15">
        <v>-1.788994</v>
      </c>
      <c r="G27" s="1">
        <v>42.465</v>
      </c>
      <c r="H27" s="10">
        <f t="shared" si="1"/>
        <v>0.012024999999999982</v>
      </c>
      <c r="I27" s="51" t="str">
        <f>INDEX(paramètres!$G$8:$G$14,WEEKDAY(J27))</f>
        <v>lundi</v>
      </c>
      <c r="J27" s="49">
        <f t="shared" si="5"/>
        <v>42198</v>
      </c>
      <c r="K27" s="10">
        <f t="shared" si="2"/>
        <v>0.5293666666666667</v>
      </c>
      <c r="L27">
        <f t="shared" si="0"/>
        <v>1</v>
      </c>
      <c r="M27">
        <f t="shared" si="4"/>
      </c>
    </row>
    <row r="28" spans="1:13" ht="12.75">
      <c r="A28">
        <f t="shared" si="3"/>
        <v>26</v>
      </c>
      <c r="B28" t="s">
        <v>36</v>
      </c>
      <c r="C28">
        <v>25</v>
      </c>
      <c r="D28" t="s">
        <v>32</v>
      </c>
      <c r="E28" s="15">
        <v>48.302902</v>
      </c>
      <c r="F28" s="15">
        <v>-1.786724</v>
      </c>
      <c r="G28" s="1">
        <v>42.654</v>
      </c>
      <c r="H28" s="10">
        <f t="shared" si="1"/>
        <v>0.011991666666666666</v>
      </c>
      <c r="I28" s="51" t="str">
        <f>INDEX(paramètres!$G$8:$G$14,WEEKDAY(J28))</f>
        <v>lundi</v>
      </c>
      <c r="J28" s="49">
        <f t="shared" si="5"/>
        <v>42198</v>
      </c>
      <c r="K28" s="10">
        <f t="shared" si="2"/>
        <v>0.6246916666666666</v>
      </c>
      <c r="L28">
        <f t="shared" si="0"/>
      </c>
      <c r="M28">
        <f t="shared" si="4"/>
      </c>
    </row>
    <row r="29" spans="1:13" ht="12.75">
      <c r="A29">
        <f t="shared" si="3"/>
        <v>27</v>
      </c>
      <c r="B29" t="s">
        <v>35</v>
      </c>
      <c r="C29">
        <v>24</v>
      </c>
      <c r="D29" t="s">
        <v>32</v>
      </c>
      <c r="E29" s="15">
        <v>48.302107</v>
      </c>
      <c r="F29" s="15">
        <v>-1.784454</v>
      </c>
      <c r="G29" s="1">
        <v>42.852000000000004</v>
      </c>
      <c r="H29" s="10">
        <f t="shared" si="1"/>
        <v>0.01206666666666667</v>
      </c>
      <c r="I29" s="51" t="str">
        <f>INDEX(paramètres!$G$8:$G$14,WEEKDAY(J29))</f>
        <v>lundi</v>
      </c>
      <c r="J29" s="49">
        <f t="shared" si="5"/>
        <v>42198</v>
      </c>
      <c r="K29" s="10">
        <f t="shared" si="2"/>
        <v>0.6367583333333333</v>
      </c>
      <c r="L29">
        <f t="shared" si="0"/>
      </c>
      <c r="M29">
        <f t="shared" si="4"/>
      </c>
    </row>
    <row r="30" spans="1:13" ht="12.75">
      <c r="A30">
        <f t="shared" si="3"/>
        <v>28</v>
      </c>
      <c r="B30" t="s">
        <v>34</v>
      </c>
      <c r="C30">
        <v>23</v>
      </c>
      <c r="D30" t="s">
        <v>32</v>
      </c>
      <c r="E30" s="15">
        <v>48.301091</v>
      </c>
      <c r="F30" s="15">
        <v>-1.781596</v>
      </c>
      <c r="G30" s="1">
        <v>43.045</v>
      </c>
      <c r="H30" s="10">
        <f t="shared" si="1"/>
        <v>0.012024999999999982</v>
      </c>
      <c r="I30" s="51" t="str">
        <f>INDEX(paramètres!$G$8:$G$14,WEEKDAY(J30))</f>
        <v>lundi</v>
      </c>
      <c r="J30" s="49">
        <f t="shared" si="5"/>
        <v>42198</v>
      </c>
      <c r="K30" s="10">
        <f t="shared" si="2"/>
        <v>0.6487833333333333</v>
      </c>
      <c r="L30">
        <f t="shared" si="0"/>
      </c>
      <c r="M30">
        <f t="shared" si="4"/>
      </c>
    </row>
    <row r="31" spans="1:13" ht="12.75">
      <c r="A31">
        <f t="shared" si="3"/>
        <v>29</v>
      </c>
      <c r="B31" t="s">
        <v>33</v>
      </c>
      <c r="C31">
        <v>22</v>
      </c>
      <c r="D31" t="s">
        <v>32</v>
      </c>
      <c r="E31" s="15">
        <v>48.3003199999999</v>
      </c>
      <c r="F31" s="15">
        <v>-1.777732</v>
      </c>
      <c r="G31" s="1">
        <v>43.239000000000004</v>
      </c>
      <c r="H31" s="10">
        <f t="shared" si="1"/>
        <v>0.012033333333333354</v>
      </c>
      <c r="I31" s="51" t="str">
        <f>INDEX(paramètres!$G$8:$G$14,WEEKDAY(J31))</f>
        <v>lundi</v>
      </c>
      <c r="J31" s="49">
        <f t="shared" si="5"/>
        <v>42198</v>
      </c>
      <c r="K31" s="10">
        <f t="shared" si="2"/>
        <v>0.6608166666666666</v>
      </c>
      <c r="L31">
        <f t="shared" si="0"/>
      </c>
      <c r="M31">
        <f t="shared" si="4"/>
      </c>
    </row>
    <row r="32" spans="1:13" ht="12.75">
      <c r="A32">
        <f t="shared" si="3"/>
        <v>30</v>
      </c>
      <c r="B32" t="s">
        <v>31</v>
      </c>
      <c r="C32">
        <v>21</v>
      </c>
      <c r="D32" t="s">
        <v>32</v>
      </c>
      <c r="E32" s="15">
        <v>48.300567</v>
      </c>
      <c r="F32" s="15">
        <v>-1.775742</v>
      </c>
      <c r="G32" s="1">
        <v>43.437000000000005</v>
      </c>
      <c r="H32" s="10">
        <f t="shared" si="1"/>
        <v>0.01206666666666667</v>
      </c>
      <c r="I32" s="51" t="str">
        <f>INDEX(paramètres!$G$8:$G$14,WEEKDAY(J32))</f>
        <v>lundi</v>
      </c>
      <c r="J32" s="49">
        <f t="shared" si="5"/>
        <v>42198</v>
      </c>
      <c r="K32" s="10">
        <f t="shared" si="2"/>
        <v>0.6728833333333333</v>
      </c>
      <c r="L32">
        <f t="shared" si="0"/>
      </c>
      <c r="M32">
        <f>IF(K32+H33&gt;ft,1,"")</f>
      </c>
    </row>
    <row r="33" spans="1:17" ht="25.5">
      <c r="A33">
        <f t="shared" si="3"/>
        <v>31</v>
      </c>
      <c r="B33" t="s">
        <v>29</v>
      </c>
      <c r="C33">
        <v>20</v>
      </c>
      <c r="D33" t="s">
        <v>30</v>
      </c>
      <c r="E33" s="15">
        <v>48.315854</v>
      </c>
      <c r="F33" s="15">
        <v>-1.703337</v>
      </c>
      <c r="G33" s="1">
        <v>50.56600000000001</v>
      </c>
      <c r="H33" s="10">
        <f t="shared" si="1"/>
        <v>0.06982500000000004</v>
      </c>
      <c r="I33" s="51" t="str">
        <f>INDEX(paramètres!$G$8:$G$14,WEEKDAY(J33))</f>
        <v>lundi</v>
      </c>
      <c r="J33" s="49">
        <f t="shared" si="5"/>
        <v>42198</v>
      </c>
      <c r="K33" s="10">
        <f t="shared" si="2"/>
        <v>0.7427083333333333</v>
      </c>
      <c r="L33">
        <f t="shared" si="0"/>
      </c>
      <c r="M33">
        <f t="shared" si="4"/>
      </c>
      <c r="N33" t="s">
        <v>158</v>
      </c>
      <c r="Q33" s="32" t="s">
        <v>215</v>
      </c>
    </row>
    <row r="34" spans="1:13" ht="12.75">
      <c r="A34">
        <f t="shared" si="3"/>
        <v>32</v>
      </c>
      <c r="B34" t="s">
        <v>28</v>
      </c>
      <c r="C34">
        <v>19</v>
      </c>
      <c r="D34" t="s">
        <v>24</v>
      </c>
      <c r="E34" s="15">
        <v>48.313328</v>
      </c>
      <c r="F34" s="15">
        <v>-1.694387</v>
      </c>
      <c r="G34" s="1">
        <v>51.28900000000001</v>
      </c>
      <c r="H34" s="10">
        <f t="shared" si="1"/>
        <v>0.016441666666666657</v>
      </c>
      <c r="I34" s="51" t="str">
        <f>INDEX(paramètres!$G$8:$G$14,WEEKDAY(J34))</f>
        <v>lundi</v>
      </c>
      <c r="J34" s="49">
        <f t="shared" si="5"/>
        <v>42198</v>
      </c>
      <c r="K34" s="10">
        <f t="shared" si="2"/>
        <v>0.75915</v>
      </c>
      <c r="L34">
        <f t="shared" si="0"/>
      </c>
      <c r="M34">
        <f>IF(K34+H35&gt;ft,1,"")</f>
      </c>
    </row>
    <row r="35" spans="1:13" ht="12.75">
      <c r="A35">
        <f t="shared" si="3"/>
        <v>33</v>
      </c>
      <c r="B35" t="s">
        <v>27</v>
      </c>
      <c r="C35">
        <v>18</v>
      </c>
      <c r="D35" t="s">
        <v>24</v>
      </c>
      <c r="E35" s="15">
        <v>48.309681</v>
      </c>
      <c r="F35" s="15">
        <v>-1.687938</v>
      </c>
      <c r="G35" s="1">
        <v>52.00300000000001</v>
      </c>
      <c r="H35" s="10">
        <f t="shared" si="1"/>
        <v>0.016366666666666654</v>
      </c>
      <c r="I35" s="51" t="str">
        <f>INDEX(paramètres!$G$8:$G$14,WEEKDAY(J35))</f>
        <v>lundi</v>
      </c>
      <c r="J35" s="49">
        <f t="shared" si="5"/>
        <v>42198</v>
      </c>
      <c r="K35" s="10">
        <f t="shared" si="2"/>
        <v>0.7755166666666666</v>
      </c>
      <c r="L35">
        <f t="shared" si="0"/>
      </c>
      <c r="M35">
        <f>IF(K35+H37&gt;ft,1,"")</f>
      </c>
    </row>
    <row r="36" spans="1:14" s="33" customFormat="1" ht="12.75">
      <c r="A36" s="33">
        <f t="shared" si="3"/>
        <v>34</v>
      </c>
      <c r="B36" s="33" t="s">
        <v>162</v>
      </c>
      <c r="D36" s="33" t="s">
        <v>24</v>
      </c>
      <c r="E36" s="34">
        <v>48.305315</v>
      </c>
      <c r="F36" s="34">
        <v>-1.685622</v>
      </c>
      <c r="G36" s="35">
        <f>G35+0.64</f>
        <v>52.64300000000001</v>
      </c>
      <c r="H36" s="36">
        <f aca="true" t="shared" si="7" ref="H36:H56">IF(ISNUMBER(C35),e,0)+(G36-G35)/v</f>
        <v>0.015750000000000004</v>
      </c>
      <c r="I36" s="51" t="str">
        <f>INDEX(paramètres!$G$8:$G$14,WEEKDAY(J36))</f>
        <v>lundi</v>
      </c>
      <c r="J36" s="48">
        <f t="shared" si="5"/>
        <v>42198</v>
      </c>
      <c r="K36" s="36">
        <f t="shared" si="2"/>
        <v>0.7912666666666667</v>
      </c>
      <c r="L36" s="33">
        <f t="shared" si="0"/>
      </c>
      <c r="M36" s="33">
        <f>IF(K36+H38&gt;f,1,"")</f>
        <v>1</v>
      </c>
      <c r="N36" s="33" t="s">
        <v>163</v>
      </c>
    </row>
    <row r="37" spans="1:13" ht="12.75">
      <c r="A37">
        <f t="shared" si="3"/>
        <v>35</v>
      </c>
      <c r="B37" t="s">
        <v>26</v>
      </c>
      <c r="C37">
        <v>17</v>
      </c>
      <c r="D37" t="s">
        <v>24</v>
      </c>
      <c r="E37" s="15">
        <v>48.304327</v>
      </c>
      <c r="F37" s="15">
        <v>-1.685723</v>
      </c>
      <c r="G37" s="1">
        <v>52.75800000000001</v>
      </c>
      <c r="H37" s="10">
        <f t="shared" si="7"/>
        <v>0.0009583333333333499</v>
      </c>
      <c r="I37" s="51" t="str">
        <f>INDEX(paramètres!$G$8:$G$14,WEEKDAY(J37))</f>
        <v>mardi</v>
      </c>
      <c r="J37" s="49">
        <f t="shared" si="5"/>
        <v>42199</v>
      </c>
      <c r="K37" s="10">
        <f t="shared" si="2"/>
        <v>0.417625</v>
      </c>
      <c r="L37">
        <f t="shared" si="0"/>
      </c>
      <c r="M37">
        <f>IF(K37+H39&gt;f,1,"")</f>
      </c>
    </row>
    <row r="38" spans="1:15" ht="12.75">
      <c r="A38">
        <f t="shared" si="3"/>
        <v>36</v>
      </c>
      <c r="B38" t="s">
        <v>25</v>
      </c>
      <c r="C38">
        <v>16</v>
      </c>
      <c r="D38" t="s">
        <v>24</v>
      </c>
      <c r="E38" s="15">
        <v>48.300616</v>
      </c>
      <c r="F38" s="15">
        <v>-1.67613</v>
      </c>
      <c r="G38" s="1">
        <v>53.751000000000005</v>
      </c>
      <c r="H38" s="10">
        <f t="shared" si="7"/>
        <v>0.018691666666666624</v>
      </c>
      <c r="I38" s="51" t="str">
        <f>INDEX(paramètres!$G$8:$G$14,WEEKDAY(J38))</f>
        <v>mardi</v>
      </c>
      <c r="J38" s="49">
        <f t="shared" si="5"/>
        <v>42199</v>
      </c>
      <c r="K38" s="10">
        <f t="shared" si="2"/>
        <v>0.43631666666666663</v>
      </c>
      <c r="L38">
        <f t="shared" si="0"/>
      </c>
      <c r="M38">
        <f>IF(K38+H40&gt;f,1,"")</f>
      </c>
      <c r="O38">
        <v>1</v>
      </c>
    </row>
    <row r="39" spans="1:13" ht="12.75">
      <c r="A39">
        <f t="shared" si="3"/>
        <v>37</v>
      </c>
      <c r="B39" t="s">
        <v>23</v>
      </c>
      <c r="C39">
        <v>15</v>
      </c>
      <c r="D39" t="s">
        <v>24</v>
      </c>
      <c r="E39" s="15">
        <v>48.296391</v>
      </c>
      <c r="F39" s="15">
        <v>-1.673006</v>
      </c>
      <c r="G39" s="1">
        <v>54.324000000000005</v>
      </c>
      <c r="H39" s="10">
        <f t="shared" si="7"/>
        <v>0.01519166666666667</v>
      </c>
      <c r="I39" s="51" t="str">
        <f>INDEX(paramètres!$G$8:$G$14,WEEKDAY(J39))</f>
        <v>mardi</v>
      </c>
      <c r="J39" s="49">
        <f t="shared" si="5"/>
        <v>42199</v>
      </c>
      <c r="K39" s="10">
        <f t="shared" si="2"/>
        <v>0.4515083333333333</v>
      </c>
      <c r="L39">
        <f t="shared" si="0"/>
      </c>
      <c r="M39">
        <f>IF(K39+H41&gt;f,1,"")</f>
      </c>
    </row>
    <row r="40" spans="1:13" ht="12.75">
      <c r="A40">
        <f t="shared" si="3"/>
        <v>38</v>
      </c>
      <c r="B40" t="s">
        <v>22</v>
      </c>
      <c r="C40">
        <v>14</v>
      </c>
      <c r="D40" t="s">
        <v>21</v>
      </c>
      <c r="E40" s="15">
        <v>48.277963</v>
      </c>
      <c r="F40" s="15">
        <v>-1.671379</v>
      </c>
      <c r="G40" s="1">
        <v>56.691</v>
      </c>
      <c r="H40" s="10">
        <f t="shared" si="7"/>
        <v>0.030141666666666643</v>
      </c>
      <c r="I40" s="51" t="str">
        <f>INDEX(paramètres!$G$8:$G$14,WEEKDAY(J40))</f>
        <v>mardi</v>
      </c>
      <c r="J40" s="49">
        <f t="shared" si="5"/>
        <v>42199</v>
      </c>
      <c r="K40" s="10">
        <f t="shared" si="2"/>
        <v>0.4816499999999999</v>
      </c>
      <c r="L40">
        <f t="shared" si="0"/>
      </c>
      <c r="M40">
        <f>IF(K40+H42&gt;f,1,"")</f>
      </c>
    </row>
    <row r="41" spans="1:17" ht="12.75">
      <c r="A41">
        <f t="shared" si="3"/>
        <v>39</v>
      </c>
      <c r="B41" t="s">
        <v>20</v>
      </c>
      <c r="C41">
        <v>13</v>
      </c>
      <c r="D41" t="s">
        <v>21</v>
      </c>
      <c r="E41" s="15">
        <v>48.272793</v>
      </c>
      <c r="F41" s="15">
        <v>-1.664618</v>
      </c>
      <c r="G41" s="1">
        <v>57.52900000000001</v>
      </c>
      <c r="H41" s="10">
        <f t="shared" si="7"/>
        <v>0.017400000000000068</v>
      </c>
      <c r="I41" s="51" t="str">
        <f>INDEX(paramètres!$G$8:$G$14,WEEKDAY(J41))</f>
        <v>mardi</v>
      </c>
      <c r="J41" s="49">
        <f t="shared" si="5"/>
        <v>42199</v>
      </c>
      <c r="K41" s="10">
        <f t="shared" si="2"/>
        <v>0.49905</v>
      </c>
      <c r="L41">
        <f t="shared" si="0"/>
      </c>
      <c r="M41">
        <f>IF(K41+H44&gt;f,1,"")</f>
      </c>
      <c r="N41" t="s">
        <v>158</v>
      </c>
      <c r="Q41" t="s">
        <v>216</v>
      </c>
    </row>
    <row r="42" spans="1:13" ht="12.75">
      <c r="A42">
        <f t="shared" si="3"/>
        <v>40</v>
      </c>
      <c r="B42" t="s">
        <v>19</v>
      </c>
      <c r="C42">
        <v>12</v>
      </c>
      <c r="D42" t="s">
        <v>17</v>
      </c>
      <c r="E42" s="15">
        <v>48.25533</v>
      </c>
      <c r="F42" s="15">
        <v>-1.666731</v>
      </c>
      <c r="G42" s="1">
        <v>60.01</v>
      </c>
      <c r="H42" s="10">
        <f t="shared" si="7"/>
        <v>0.03109166666666656</v>
      </c>
      <c r="I42" s="51" t="str">
        <f>INDEX(paramètres!$G$8:$G$14,WEEKDAY(J42))</f>
        <v>mardi</v>
      </c>
      <c r="J42" s="49">
        <f t="shared" si="5"/>
        <v>42199</v>
      </c>
      <c r="K42" s="10">
        <f t="shared" si="2"/>
        <v>0.5301416666666665</v>
      </c>
      <c r="L42">
        <f t="shared" si="0"/>
        <v>1</v>
      </c>
      <c r="M42">
        <f>IF(K42+H45&gt;f,1,"")</f>
      </c>
    </row>
    <row r="43" spans="1:17" s="41" customFormat="1" ht="28.5" customHeight="1">
      <c r="A43" s="41">
        <f t="shared" si="3"/>
        <v>41</v>
      </c>
      <c r="B43" s="41" t="s">
        <v>164</v>
      </c>
      <c r="D43" s="41" t="s">
        <v>165</v>
      </c>
      <c r="E43" s="42">
        <v>48.248995</v>
      </c>
      <c r="F43" s="42">
        <v>-1.666034</v>
      </c>
      <c r="G43" s="43">
        <f>G42+0.77</f>
        <v>60.78</v>
      </c>
      <c r="H43" s="44">
        <f t="shared" si="7"/>
        <v>0.01683333333333336</v>
      </c>
      <c r="I43" s="51" t="str">
        <f>INDEX(paramètres!$G$8:$G$14,WEEKDAY(J43))</f>
        <v>mardi</v>
      </c>
      <c r="J43" s="52">
        <f t="shared" si="5"/>
        <v>42199</v>
      </c>
      <c r="K43" s="44">
        <f t="shared" si="2"/>
        <v>0.6303083333333332</v>
      </c>
      <c r="L43" s="41">
        <f t="shared" si="0"/>
      </c>
      <c r="M43" s="41">
        <v>49</v>
      </c>
      <c r="N43" s="41" t="s">
        <v>158</v>
      </c>
      <c r="Q43" s="45" t="s">
        <v>217</v>
      </c>
    </row>
    <row r="44" spans="1:13" ht="12.75">
      <c r="A44">
        <f t="shared" si="3"/>
        <v>42</v>
      </c>
      <c r="B44" t="s">
        <v>18</v>
      </c>
      <c r="C44">
        <v>11</v>
      </c>
      <c r="D44" t="s">
        <v>17</v>
      </c>
      <c r="E44" s="15">
        <v>48.248235</v>
      </c>
      <c r="F44" s="15">
        <v>-1.667367</v>
      </c>
      <c r="G44" s="1">
        <v>60.897000000000006</v>
      </c>
      <c r="H44" s="10">
        <f t="shared" si="7"/>
        <v>0.0009750000000000369</v>
      </c>
      <c r="I44" s="51" t="str">
        <f>INDEX(paramètres!$G$8:$G$14,WEEKDAY(J44))</f>
        <v>mardi</v>
      </c>
      <c r="J44" s="49">
        <f t="shared" si="5"/>
        <v>42248</v>
      </c>
      <c r="K44" s="10">
        <f t="shared" si="2"/>
        <v>0.41764166666666674</v>
      </c>
      <c r="L44">
        <f t="shared" si="0"/>
      </c>
      <c r="M44">
        <f>IF(K44+H47&gt;f,1,"")</f>
      </c>
    </row>
    <row r="45" spans="1:15" ht="12.75">
      <c r="A45">
        <f t="shared" si="3"/>
        <v>43</v>
      </c>
      <c r="B45" t="s">
        <v>16</v>
      </c>
      <c r="C45">
        <v>10</v>
      </c>
      <c r="D45" t="s">
        <v>17</v>
      </c>
      <c r="E45" s="15">
        <v>48.236521</v>
      </c>
      <c r="F45" s="15">
        <v>-1.649021</v>
      </c>
      <c r="G45" s="1">
        <v>62.976000000000006</v>
      </c>
      <c r="H45" s="10">
        <f t="shared" si="7"/>
        <v>0.02774166666666667</v>
      </c>
      <c r="I45" s="51" t="str">
        <f>INDEX(paramètres!$G$8:$G$14,WEEKDAY(J45))</f>
        <v>mardi</v>
      </c>
      <c r="J45" s="49">
        <f t="shared" si="5"/>
        <v>42248</v>
      </c>
      <c r="K45" s="10">
        <f t="shared" si="2"/>
        <v>0.4453833333333334</v>
      </c>
      <c r="L45">
        <f t="shared" si="0"/>
      </c>
      <c r="M45">
        <f>IF(K45+H48&gt;f,1,"")</f>
      </c>
      <c r="O45">
        <v>1</v>
      </c>
    </row>
    <row r="46" spans="1:13" ht="12.75">
      <c r="A46">
        <f t="shared" si="3"/>
        <v>44</v>
      </c>
      <c r="B46" t="s">
        <v>15</v>
      </c>
      <c r="C46">
        <v>9</v>
      </c>
      <c r="D46" t="s">
        <v>14</v>
      </c>
      <c r="E46" s="15">
        <v>48.225601</v>
      </c>
      <c r="F46" s="15">
        <v>-1.640368</v>
      </c>
      <c r="G46" s="1">
        <v>64.38400000000001</v>
      </c>
      <c r="H46" s="10">
        <f t="shared" si="7"/>
        <v>0.02215000000000007</v>
      </c>
      <c r="I46" s="51" t="str">
        <f>INDEX(paramètres!$G$8:$G$14,WEEKDAY(J46))</f>
        <v>mardi</v>
      </c>
      <c r="J46" s="49">
        <f t="shared" si="5"/>
        <v>42248</v>
      </c>
      <c r="K46" s="10">
        <f t="shared" si="2"/>
        <v>0.46753333333333347</v>
      </c>
      <c r="L46">
        <f t="shared" si="0"/>
      </c>
      <c r="M46">
        <f>IF(K46+H50&gt;f,1,"")</f>
      </c>
    </row>
    <row r="47" spans="1:17" ht="12.75">
      <c r="A47">
        <f t="shared" si="3"/>
        <v>45</v>
      </c>
      <c r="B47" t="s">
        <v>13</v>
      </c>
      <c r="C47">
        <v>8</v>
      </c>
      <c r="D47" t="s">
        <v>14</v>
      </c>
      <c r="E47" s="15">
        <v>48.210964</v>
      </c>
      <c r="F47" s="15">
        <v>-1.638842</v>
      </c>
      <c r="G47" s="1">
        <v>66.75300000000001</v>
      </c>
      <c r="H47" s="10">
        <f t="shared" si="7"/>
        <v>0.03015833333333333</v>
      </c>
      <c r="I47" s="51" t="str">
        <f>INDEX(paramètres!$G$8:$G$14,WEEKDAY(J47))</f>
        <v>mardi</v>
      </c>
      <c r="J47" s="49">
        <f t="shared" si="5"/>
        <v>42248</v>
      </c>
      <c r="K47" s="10">
        <f t="shared" si="2"/>
        <v>0.4976916666666668</v>
      </c>
      <c r="L47">
        <f t="shared" si="0"/>
      </c>
      <c r="M47">
        <f>IF(K47+H51&gt;f,1,"")</f>
      </c>
      <c r="N47" t="s">
        <v>158</v>
      </c>
      <c r="Q47" t="s">
        <v>218</v>
      </c>
    </row>
    <row r="48" spans="1:13" ht="12.75">
      <c r="A48">
        <f t="shared" si="3"/>
        <v>46</v>
      </c>
      <c r="B48" t="s">
        <v>12</v>
      </c>
      <c r="C48">
        <v>7</v>
      </c>
      <c r="D48" t="s">
        <v>10</v>
      </c>
      <c r="E48" s="15">
        <v>48.196837</v>
      </c>
      <c r="F48" s="15">
        <v>-1.633042</v>
      </c>
      <c r="G48" s="1">
        <v>69.05300000000001</v>
      </c>
      <c r="H48" s="10">
        <f t="shared" si="7"/>
        <v>0.02958333333333331</v>
      </c>
      <c r="I48" s="51" t="str">
        <f>INDEX(paramètres!$G$8:$G$14,WEEKDAY(J48))</f>
        <v>mardi</v>
      </c>
      <c r="J48" s="49">
        <f t="shared" si="5"/>
        <v>42248</v>
      </c>
      <c r="K48" s="10">
        <f t="shared" si="2"/>
        <v>0.5272750000000002</v>
      </c>
      <c r="L48">
        <f t="shared" si="0"/>
        <v>1</v>
      </c>
      <c r="M48">
        <f>IF(K48+H52&gt;ft,1,"")</f>
      </c>
    </row>
    <row r="49" spans="1:17" s="33" customFormat="1" ht="12.75">
      <c r="A49" s="33">
        <f t="shared" si="3"/>
        <v>47</v>
      </c>
      <c r="B49" s="33" t="s">
        <v>166</v>
      </c>
      <c r="D49" s="33" t="s">
        <v>10</v>
      </c>
      <c r="E49" s="34">
        <v>48.180314</v>
      </c>
      <c r="F49" s="34">
        <v>-1.640394</v>
      </c>
      <c r="G49" s="35">
        <f>G48+2.21</f>
        <v>71.263</v>
      </c>
      <c r="H49" s="36">
        <f t="shared" si="7"/>
        <v>0.02883333333333328</v>
      </c>
      <c r="I49" s="51" t="str">
        <f>INDEX(paramètres!$G$8:$G$14,WEEKDAY(J49))</f>
        <v>mardi</v>
      </c>
      <c r="J49" s="48">
        <f t="shared" si="5"/>
        <v>42248</v>
      </c>
      <c r="K49" s="36">
        <f t="shared" si="2"/>
        <v>0.6394416666666668</v>
      </c>
      <c r="L49" s="33">
        <f t="shared" si="0"/>
      </c>
      <c r="N49" s="33" t="s">
        <v>158</v>
      </c>
      <c r="Q49" s="33" t="s">
        <v>219</v>
      </c>
    </row>
    <row r="50" spans="1:13" ht="12.75">
      <c r="A50">
        <f t="shared" si="3"/>
        <v>48</v>
      </c>
      <c r="B50" t="s">
        <v>11</v>
      </c>
      <c r="C50">
        <v>6</v>
      </c>
      <c r="D50" t="s">
        <v>10</v>
      </c>
      <c r="E50" s="15">
        <v>48.172247</v>
      </c>
      <c r="F50" s="15">
        <v>-1.643203</v>
      </c>
      <c r="G50" s="1">
        <v>72.19600000000001</v>
      </c>
      <c r="H50" s="10">
        <f t="shared" si="7"/>
        <v>0.007775000000000058</v>
      </c>
      <c r="I50" s="51" t="str">
        <f>INDEX(paramètres!$G$8:$G$14,WEEKDAY(J50))</f>
        <v>mardi</v>
      </c>
      <c r="J50" s="49">
        <f t="shared" si="5"/>
        <v>42248</v>
      </c>
      <c r="K50" s="10">
        <f t="shared" si="2"/>
        <v>0.6472166666666669</v>
      </c>
      <c r="L50">
        <f t="shared" si="0"/>
      </c>
      <c r="M50">
        <f aca="true" t="shared" si="8" ref="M50:M56">IF(K50+H55&gt;f,1,"")</f>
      </c>
    </row>
    <row r="51" spans="1:13" ht="12.75">
      <c r="A51">
        <f t="shared" si="3"/>
        <v>49</v>
      </c>
      <c r="B51" t="s">
        <v>9</v>
      </c>
      <c r="C51">
        <v>5</v>
      </c>
      <c r="D51" t="s">
        <v>10</v>
      </c>
      <c r="E51" s="15">
        <v>48.166105</v>
      </c>
      <c r="F51" s="15">
        <v>-1.667407</v>
      </c>
      <c r="G51" s="1">
        <v>74.899</v>
      </c>
      <c r="H51" s="10">
        <f t="shared" si="7"/>
        <v>0.03294166666666657</v>
      </c>
      <c r="I51" s="51" t="str">
        <f>INDEX(paramètres!$G$8:$G$14,WEEKDAY(J51))</f>
        <v>mardi</v>
      </c>
      <c r="J51" s="49">
        <f t="shared" si="5"/>
        <v>42248</v>
      </c>
      <c r="K51" s="10">
        <f t="shared" si="2"/>
        <v>0.6801583333333334</v>
      </c>
      <c r="L51">
        <f t="shared" si="0"/>
      </c>
      <c r="M51">
        <f t="shared" si="8"/>
      </c>
    </row>
    <row r="52" spans="1:13" ht="12.75">
      <c r="A52">
        <f t="shared" si="3"/>
        <v>50</v>
      </c>
      <c r="B52" t="s">
        <v>8</v>
      </c>
      <c r="C52">
        <v>4</v>
      </c>
      <c r="D52" t="s">
        <v>7</v>
      </c>
      <c r="E52" s="15">
        <v>48.152327</v>
      </c>
      <c r="F52" s="15">
        <v>-1.659886</v>
      </c>
      <c r="G52" s="1">
        <v>77.59700000000001</v>
      </c>
      <c r="H52" s="10">
        <f t="shared" si="7"/>
        <v>0.03290000000000006</v>
      </c>
      <c r="I52" s="51" t="str">
        <f>INDEX(paramètres!$G$8:$G$14,WEEKDAY(J52))</f>
        <v>mardi</v>
      </c>
      <c r="J52" s="49">
        <f t="shared" si="5"/>
        <v>42248</v>
      </c>
      <c r="K52" s="10">
        <f t="shared" si="2"/>
        <v>0.7130583333333335</v>
      </c>
      <c r="L52">
        <f t="shared" si="0"/>
      </c>
      <c r="M52">
        <f t="shared" si="8"/>
      </c>
    </row>
    <row r="53" spans="1:17" ht="12.75">
      <c r="A53">
        <f t="shared" si="3"/>
        <v>51</v>
      </c>
      <c r="B53" t="s">
        <v>167</v>
      </c>
      <c r="D53" t="s">
        <v>7</v>
      </c>
      <c r="E53" s="15">
        <v>48.151454</v>
      </c>
      <c r="F53" s="15">
        <v>-1.678368</v>
      </c>
      <c r="G53" s="1">
        <f>G52+1.52</f>
        <v>79.117</v>
      </c>
      <c r="H53" s="10">
        <f t="shared" si="7"/>
        <v>0.0230833333333333</v>
      </c>
      <c r="I53" s="51" t="str">
        <f>INDEX(paramètres!$G$8:$G$14,WEEKDAY(J53))</f>
        <v>mardi</v>
      </c>
      <c r="J53" s="49">
        <f t="shared" si="5"/>
        <v>42248</v>
      </c>
      <c r="K53" s="10">
        <f t="shared" si="2"/>
        <v>0.7361416666666668</v>
      </c>
      <c r="L53">
        <f t="shared" si="0"/>
      </c>
      <c r="M53">
        <f t="shared" si="8"/>
      </c>
      <c r="N53" t="s">
        <v>158</v>
      </c>
      <c r="Q53" t="s">
        <v>220</v>
      </c>
    </row>
    <row r="54" spans="1:12" s="33" customFormat="1" ht="12.75">
      <c r="A54" s="33">
        <f t="shared" si="3"/>
        <v>52</v>
      </c>
      <c r="B54" s="33" t="s">
        <v>6</v>
      </c>
      <c r="C54" s="33">
        <v>3</v>
      </c>
      <c r="D54" s="33" t="s">
        <v>7</v>
      </c>
      <c r="E54" s="34">
        <v>48.150516</v>
      </c>
      <c r="F54" s="34">
        <v>-1.67945</v>
      </c>
      <c r="G54" s="35">
        <v>79.19200000000001</v>
      </c>
      <c r="H54" s="36">
        <f t="shared" si="7"/>
        <v>0.0006250000000000236</v>
      </c>
      <c r="I54" s="51" t="str">
        <f>INDEX(paramètres!$G$8:$G$14,WEEKDAY(J54))</f>
        <v>mardi</v>
      </c>
      <c r="J54" s="48">
        <f t="shared" si="5"/>
        <v>42248</v>
      </c>
      <c r="K54" s="36">
        <f t="shared" si="2"/>
        <v>0.7367666666666668</v>
      </c>
      <c r="L54" s="33">
        <f t="shared" si="0"/>
      </c>
    </row>
    <row r="55" spans="1:17" s="33" customFormat="1" ht="12.75">
      <c r="A55" s="33">
        <f t="shared" si="3"/>
        <v>53</v>
      </c>
      <c r="B55" s="33" t="s">
        <v>5</v>
      </c>
      <c r="C55" s="33">
        <v>2</v>
      </c>
      <c r="D55" s="33" t="s">
        <v>4</v>
      </c>
      <c r="E55" s="34">
        <v>48.121099</v>
      </c>
      <c r="F55" s="34">
        <v>-1.681951</v>
      </c>
      <c r="G55" s="35">
        <v>83.427</v>
      </c>
      <c r="H55" s="36">
        <f t="shared" si="7"/>
        <v>0.04570833333333332</v>
      </c>
      <c r="I55" s="51" t="str">
        <f>INDEX(paramètres!$G$8:$G$14,WEEKDAY(J55))</f>
        <v>mardi</v>
      </c>
      <c r="J55" s="48">
        <f t="shared" si="5"/>
        <v>42248</v>
      </c>
      <c r="K55" s="36">
        <f t="shared" si="2"/>
        <v>0.7824750000000001</v>
      </c>
      <c r="L55" s="33">
        <f t="shared" si="0"/>
      </c>
      <c r="M55" s="33">
        <f t="shared" si="8"/>
        <v>1</v>
      </c>
      <c r="N55" s="33" t="s">
        <v>158</v>
      </c>
      <c r="Q55" s="33" t="s">
        <v>220</v>
      </c>
    </row>
    <row r="56" spans="1:17" ht="12.75">
      <c r="A56">
        <f t="shared" si="3"/>
        <v>54</v>
      </c>
      <c r="B56" t="s">
        <v>3</v>
      </c>
      <c r="C56">
        <v>1</v>
      </c>
      <c r="D56" t="s">
        <v>4</v>
      </c>
      <c r="E56" s="15">
        <v>48.110466</v>
      </c>
      <c r="F56" s="15">
        <v>-1.685995</v>
      </c>
      <c r="G56" s="1">
        <v>84.802</v>
      </c>
      <c r="H56" s="10">
        <f t="shared" si="7"/>
        <v>0.021875</v>
      </c>
      <c r="I56" s="51" t="str">
        <f>INDEX(paramètres!$G$8:$G$14,WEEKDAY(J56))</f>
        <v>mercredi</v>
      </c>
      <c r="J56" s="49">
        <f t="shared" si="5"/>
        <v>42249</v>
      </c>
      <c r="K56" s="10">
        <f t="shared" si="2"/>
        <v>0.43854166666666666</v>
      </c>
      <c r="L56">
        <f t="shared" si="0"/>
      </c>
      <c r="M56">
        <f t="shared" si="8"/>
      </c>
      <c r="O56">
        <v>1</v>
      </c>
      <c r="Q56" t="s">
        <v>220</v>
      </c>
    </row>
    <row r="57" spans="1:17" s="33" customFormat="1" ht="12.75">
      <c r="A57" s="33">
        <f t="shared" si="3"/>
        <v>55</v>
      </c>
      <c r="B57" s="33" t="s">
        <v>168</v>
      </c>
      <c r="D57" s="33" t="s">
        <v>4</v>
      </c>
      <c r="E57" s="33">
        <v>48.107674</v>
      </c>
      <c r="F57" s="33">
        <v>-1.694435</v>
      </c>
      <c r="G57" s="35">
        <f>G56+0.82</f>
        <v>85.622</v>
      </c>
      <c r="H57" s="36">
        <f>IF(ISNUMBER(C56),e,0)+(G57-G56)/v</f>
        <v>0.017249999999999942</v>
      </c>
      <c r="I57" s="51" t="str">
        <f>INDEX(paramètres!$G$8:$G$14,WEEKDAY(J57))</f>
        <v>mercredi</v>
      </c>
      <c r="J57" s="48">
        <f>J56+IF(ISNUMBER(M56),M56,0)</f>
        <v>42249</v>
      </c>
      <c r="K57" s="36">
        <f>H57+IF(ISNUMBER(M56),d,K56+IF(L56=1,p,0))</f>
        <v>0.4557916666666666</v>
      </c>
      <c r="L57" s="33">
        <f>IF(AND(K57&gt;m,K57&lt;m+p),1,"")</f>
      </c>
      <c r="M57" s="33">
        <v>2</v>
      </c>
      <c r="N57" s="33" t="s">
        <v>158</v>
      </c>
      <c r="O57" s="33">
        <v>1</v>
      </c>
      <c r="P57" s="33" t="s">
        <v>169</v>
      </c>
      <c r="Q57" s="33" t="s">
        <v>221</v>
      </c>
    </row>
  </sheetData>
  <sheetProtection/>
  <mergeCells count="1">
    <mergeCell ref="I2:J2"/>
  </mergeCells>
  <conditionalFormatting sqref="A2:I2 A1:IV1 A3:IV65536 K2:IV2">
    <cfRule type="expression" priority="1" dxfId="0" stopIfTrue="1">
      <formula>ISNUMBER(INDIRECT(ADDRESS(ROW(),13)))</formula>
    </cfRule>
  </conditionalFormatting>
  <hyperlinks>
    <hyperlink ref="D1" r:id="rId1" display="http://www.fluvialnet.com/voies-navigables/region-ouest-2/voie-canal-d-ille-et-rance-32"/>
  </hyperlinks>
  <printOptions/>
  <pageMargins left="0.787401575" right="0.787401575" top="0.984251969" bottom="0.984251969" header="0.5" footer="0.5"/>
  <pageSetup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6">
      <selection activeCell="H25" sqref="H25"/>
    </sheetView>
  </sheetViews>
  <sheetFormatPr defaultColWidth="11.421875" defaultRowHeight="12.75"/>
  <cols>
    <col min="1" max="1" width="10.28125" style="0" customWidth="1"/>
    <col min="2" max="2" width="28.00390625" style="0" bestFit="1" customWidth="1"/>
    <col min="3" max="3" width="6.28125" style="0" customWidth="1"/>
    <col min="4" max="4" width="24.00390625" style="0" bestFit="1" customWidth="1"/>
    <col min="5" max="6" width="10.421875" style="0" hidden="1" customWidth="1"/>
    <col min="7" max="7" width="6.7109375" style="1" customWidth="1"/>
    <col min="8" max="8" width="7.421875" style="0" customWidth="1"/>
    <col min="9" max="9" width="9.00390625" style="0" customWidth="1"/>
    <col min="10" max="10" width="7.8515625" style="49" customWidth="1"/>
    <col min="11" max="11" width="5.8515625" style="0" customWidth="1"/>
    <col min="12" max="12" width="6.7109375" style="0" customWidth="1"/>
    <col min="13" max="13" width="7.421875" style="0" customWidth="1"/>
    <col min="14" max="14" width="8.421875" style="0" customWidth="1"/>
    <col min="16" max="16" width="33.28125" style="0" customWidth="1"/>
  </cols>
  <sheetData>
    <row r="1" spans="1:4" ht="12.75">
      <c r="A1" t="s">
        <v>80</v>
      </c>
      <c r="B1">
        <v>3.2</v>
      </c>
      <c r="D1" s="21" t="s">
        <v>177</v>
      </c>
    </row>
    <row r="2" spans="1:10" ht="12.75">
      <c r="A2" t="s">
        <v>81</v>
      </c>
      <c r="B2">
        <v>1.2</v>
      </c>
      <c r="J2"/>
    </row>
    <row r="3" spans="1:3" ht="12.75">
      <c r="A3" t="s">
        <v>82</v>
      </c>
      <c r="B3" s="1">
        <f>G28-G7</f>
        <v>89.13000000000001</v>
      </c>
      <c r="C3" s="1"/>
    </row>
    <row r="4" spans="1:2" ht="12.75">
      <c r="A4" t="s">
        <v>83</v>
      </c>
      <c r="B4">
        <v>13</v>
      </c>
    </row>
    <row r="6" spans="1:18" ht="28.5" customHeight="1">
      <c r="A6" s="16" t="s">
        <v>118</v>
      </c>
      <c r="B6" s="16" t="s">
        <v>1</v>
      </c>
      <c r="C6" s="16" t="s">
        <v>119</v>
      </c>
      <c r="D6" s="16" t="s">
        <v>2</v>
      </c>
      <c r="E6" s="18" t="s">
        <v>115</v>
      </c>
      <c r="F6" s="18" t="s">
        <v>116</v>
      </c>
      <c r="G6" s="16" t="s">
        <v>0</v>
      </c>
      <c r="H6" s="17" t="s">
        <v>94</v>
      </c>
      <c r="I6" s="80" t="s">
        <v>201</v>
      </c>
      <c r="J6" s="81"/>
      <c r="K6" s="17" t="s">
        <v>95</v>
      </c>
      <c r="L6" s="17" t="s">
        <v>96</v>
      </c>
      <c r="M6" s="17" t="s">
        <v>97</v>
      </c>
      <c r="N6" s="25" t="s">
        <v>153</v>
      </c>
      <c r="O6" s="20" t="s">
        <v>117</v>
      </c>
      <c r="P6" s="20" t="s">
        <v>120</v>
      </c>
      <c r="Q6" s="31" t="s">
        <v>210</v>
      </c>
      <c r="R6" s="29"/>
    </row>
    <row r="7" spans="1:18" s="33" customFormat="1" ht="12.75">
      <c r="A7" s="33">
        <v>1</v>
      </c>
      <c r="B7" s="33" t="s">
        <v>168</v>
      </c>
      <c r="D7" s="33" t="s">
        <v>4</v>
      </c>
      <c r="E7" s="33">
        <v>48.107674</v>
      </c>
      <c r="F7" s="33">
        <v>-1.694435</v>
      </c>
      <c r="G7" s="35">
        <v>0.82</v>
      </c>
      <c r="H7" s="36">
        <v>0</v>
      </c>
      <c r="I7" s="50" t="str">
        <f>INDEX(paramètres!$G$8:$G$14,WEEKDAY(J7))</f>
        <v>mercredi</v>
      </c>
      <c r="J7" s="48">
        <f>'Ille-et-Rance'!J57</f>
        <v>42249</v>
      </c>
      <c r="K7" s="36">
        <f>'Ille-et-Rance'!K57</f>
        <v>0.4557916666666666</v>
      </c>
      <c r="M7" s="33">
        <f>'Ille-et-Rance'!M57</f>
        <v>2</v>
      </c>
      <c r="P7" s="39"/>
      <c r="R7" s="37">
        <v>41511</v>
      </c>
    </row>
    <row r="8" spans="1:18" ht="12.75">
      <c r="A8">
        <f aca="true" t="shared" si="0" ref="A8:A28">A7+1</f>
        <v>2</v>
      </c>
      <c r="B8" t="s">
        <v>68</v>
      </c>
      <c r="C8">
        <v>2</v>
      </c>
      <c r="D8" t="s">
        <v>170</v>
      </c>
      <c r="E8">
        <v>48.106443</v>
      </c>
      <c r="F8">
        <v>-1.708598</v>
      </c>
      <c r="G8" s="1">
        <v>1.85</v>
      </c>
      <c r="H8" s="10">
        <f aca="true" t="shared" si="1" ref="H8:H28">IF(ISNUMBER(C7),e,0)+(G8-G7)/v</f>
        <v>0.008583333333333335</v>
      </c>
      <c r="I8" s="50" t="str">
        <f>INDEX(paramètres!$G$8:$G$14,WEEKDAY(J8))</f>
        <v>vendredi</v>
      </c>
      <c r="J8" s="49">
        <f aca="true" t="shared" si="2" ref="J8:J28">J7+IF(ISNUMBER(M7),M7,0)</f>
        <v>42251</v>
      </c>
      <c r="K8" s="10">
        <f aca="true" t="shared" si="3" ref="K8:K28">H8+IF(ISNUMBER(M7),d,K7+IF(L7=1,p,0))</f>
        <v>0.42525</v>
      </c>
      <c r="L8">
        <f aca="true" t="shared" si="4" ref="L8:L28">IF(AND(K8&gt;m,K8&lt;m+p),1,"")</f>
      </c>
      <c r="M8">
        <f aca="true" t="shared" si="5" ref="M8:M28">IF(K8+H9&gt;f,1,"")</f>
      </c>
      <c r="R8" s="30">
        <v>41513</v>
      </c>
    </row>
    <row r="9" spans="1:18" ht="12.75">
      <c r="A9">
        <f t="shared" si="0"/>
        <v>3</v>
      </c>
      <c r="B9" t="s">
        <v>69</v>
      </c>
      <c r="C9">
        <v>3</v>
      </c>
      <c r="D9" t="s">
        <v>171</v>
      </c>
      <c r="E9">
        <v>48.094083</v>
      </c>
      <c r="F9">
        <v>-1.74631</v>
      </c>
      <c r="G9" s="1">
        <v>5.45</v>
      </c>
      <c r="H9" s="10">
        <f t="shared" si="1"/>
        <v>0.04041666666666667</v>
      </c>
      <c r="I9" s="50" t="str">
        <f>INDEX(paramètres!$G$8:$G$14,WEEKDAY(J9))</f>
        <v>vendredi</v>
      </c>
      <c r="J9" s="49">
        <f t="shared" si="2"/>
        <v>42251</v>
      </c>
      <c r="K9" s="10">
        <f t="shared" si="3"/>
        <v>0.4656666666666667</v>
      </c>
      <c r="L9">
        <f t="shared" si="4"/>
      </c>
      <c r="M9">
        <f t="shared" si="5"/>
      </c>
      <c r="R9" s="30">
        <v>41513</v>
      </c>
    </row>
    <row r="10" spans="1:18" ht="12.75">
      <c r="A10">
        <f t="shared" si="0"/>
        <v>4</v>
      </c>
      <c r="B10" t="s">
        <v>70</v>
      </c>
      <c r="C10">
        <v>4</v>
      </c>
      <c r="D10" t="s">
        <v>172</v>
      </c>
      <c r="E10">
        <v>48.051041</v>
      </c>
      <c r="F10">
        <v>-1.766685</v>
      </c>
      <c r="G10" s="1">
        <v>11.025</v>
      </c>
      <c r="H10" s="10">
        <f t="shared" si="1"/>
        <v>0.056875</v>
      </c>
      <c r="I10" s="50" t="str">
        <f>INDEX(paramètres!$G$8:$G$14,WEEKDAY(J10))</f>
        <v>vendredi</v>
      </c>
      <c r="J10" s="49">
        <f t="shared" si="2"/>
        <v>42251</v>
      </c>
      <c r="K10" s="10">
        <f t="shared" si="3"/>
        <v>0.5225416666666667</v>
      </c>
      <c r="L10">
        <f t="shared" si="4"/>
        <v>1</v>
      </c>
      <c r="M10">
        <f t="shared" si="5"/>
      </c>
      <c r="R10" s="30">
        <v>41513</v>
      </c>
    </row>
    <row r="11" spans="1:18" ht="12.75">
      <c r="A11">
        <f t="shared" si="0"/>
        <v>5</v>
      </c>
      <c r="B11" t="s">
        <v>71</v>
      </c>
      <c r="C11">
        <v>5</v>
      </c>
      <c r="D11" t="s">
        <v>172</v>
      </c>
      <c r="E11">
        <v>48.027187</v>
      </c>
      <c r="F11">
        <v>-1.773026</v>
      </c>
      <c r="G11" s="1">
        <v>14.2</v>
      </c>
      <c r="H11" s="10">
        <f t="shared" si="1"/>
        <v>0.03687499999999999</v>
      </c>
      <c r="I11" s="50" t="str">
        <f>INDEX(paramètres!$G$8:$G$14,WEEKDAY(J11))</f>
        <v>vendredi</v>
      </c>
      <c r="J11" s="49">
        <f t="shared" si="2"/>
        <v>42251</v>
      </c>
      <c r="K11" s="10">
        <f t="shared" si="3"/>
        <v>0.64275</v>
      </c>
      <c r="L11">
        <f t="shared" si="4"/>
      </c>
      <c r="M11">
        <f t="shared" si="5"/>
      </c>
      <c r="P11" t="s">
        <v>121</v>
      </c>
      <c r="R11" s="30">
        <v>41513</v>
      </c>
    </row>
    <row r="12" spans="1:18" ht="12.75">
      <c r="A12">
        <f t="shared" si="0"/>
        <v>6</v>
      </c>
      <c r="B12" t="s">
        <v>72</v>
      </c>
      <c r="C12">
        <v>6</v>
      </c>
      <c r="D12" t="s">
        <v>172</v>
      </c>
      <c r="E12">
        <v>48.003192</v>
      </c>
      <c r="F12">
        <v>-1.778378</v>
      </c>
      <c r="G12" s="1">
        <v>17.8</v>
      </c>
      <c r="H12" s="10">
        <f t="shared" si="1"/>
        <v>0.04041666666666668</v>
      </c>
      <c r="I12" s="50" t="str">
        <f>INDEX(paramètres!$G$8:$G$14,WEEKDAY(J12))</f>
        <v>vendredi</v>
      </c>
      <c r="J12" s="49">
        <f t="shared" si="2"/>
        <v>42251</v>
      </c>
      <c r="K12" s="10">
        <f t="shared" si="3"/>
        <v>0.6831666666666667</v>
      </c>
      <c r="L12">
        <f t="shared" si="4"/>
      </c>
      <c r="M12">
        <f t="shared" si="5"/>
      </c>
      <c r="R12" s="30">
        <v>41513</v>
      </c>
    </row>
    <row r="13" spans="1:18" s="33" customFormat="1" ht="12.75">
      <c r="A13" s="33">
        <f t="shared" si="0"/>
        <v>7</v>
      </c>
      <c r="B13" s="33" t="s">
        <v>157</v>
      </c>
      <c r="E13" s="33">
        <v>48.002586</v>
      </c>
      <c r="F13" s="33">
        <v>-1.773497</v>
      </c>
      <c r="G13" s="35">
        <f>G12+0.24</f>
        <v>18.04</v>
      </c>
      <c r="H13" s="36">
        <f t="shared" si="1"/>
        <v>0.012416666666666652</v>
      </c>
      <c r="I13" s="50" t="str">
        <f>INDEX(paramètres!$G$8:$G$14,WEEKDAY(J13))</f>
        <v>vendredi</v>
      </c>
      <c r="J13" s="48">
        <f t="shared" si="2"/>
        <v>42251</v>
      </c>
      <c r="K13" s="36">
        <f t="shared" si="3"/>
        <v>0.6955833333333333</v>
      </c>
      <c r="L13" s="33">
        <f t="shared" si="4"/>
      </c>
      <c r="M13" s="33">
        <v>1</v>
      </c>
      <c r="N13" s="33" t="s">
        <v>154</v>
      </c>
      <c r="O13" s="33">
        <v>1</v>
      </c>
      <c r="P13" s="33" t="s">
        <v>122</v>
      </c>
      <c r="R13" s="37">
        <v>41513</v>
      </c>
    </row>
    <row r="14" spans="1:18" ht="12.75">
      <c r="A14">
        <f t="shared" si="0"/>
        <v>8</v>
      </c>
      <c r="B14" t="s">
        <v>73</v>
      </c>
      <c r="C14">
        <v>7</v>
      </c>
      <c r="D14" t="s">
        <v>173</v>
      </c>
      <c r="E14">
        <v>47.993214</v>
      </c>
      <c r="F14">
        <v>-1.75497</v>
      </c>
      <c r="G14" s="1">
        <v>21</v>
      </c>
      <c r="H14" s="10">
        <f t="shared" si="1"/>
        <v>0.024666666666666674</v>
      </c>
      <c r="I14" s="50" t="str">
        <f>INDEX(paramètres!$G$8:$G$14,WEEKDAY(J14))</f>
        <v>samedi</v>
      </c>
      <c r="J14" s="49">
        <f t="shared" si="2"/>
        <v>42252</v>
      </c>
      <c r="K14" s="10">
        <f>H14+IF(ISNUMBER(M13),dt,K13+IF(L13=1,p,0))</f>
        <v>0.39966666666666667</v>
      </c>
      <c r="L14">
        <f t="shared" si="4"/>
      </c>
      <c r="M14">
        <f t="shared" si="5"/>
      </c>
      <c r="R14" s="30">
        <v>41514</v>
      </c>
    </row>
    <row r="15" spans="1:18" ht="12.75">
      <c r="A15">
        <f t="shared" si="0"/>
        <v>9</v>
      </c>
      <c r="B15" t="s">
        <v>74</v>
      </c>
      <c r="C15">
        <v>8</v>
      </c>
      <c r="D15" t="s">
        <v>173</v>
      </c>
      <c r="E15">
        <v>47.945865</v>
      </c>
      <c r="F15">
        <v>-1.75194</v>
      </c>
      <c r="G15" s="1">
        <v>26.75</v>
      </c>
      <c r="H15" s="10">
        <f t="shared" si="1"/>
        <v>0.058333333333333334</v>
      </c>
      <c r="I15" s="50" t="str">
        <f>INDEX(paramètres!$G$8:$G$14,WEEKDAY(J15))</f>
        <v>samedi</v>
      </c>
      <c r="J15" s="49">
        <f t="shared" si="2"/>
        <v>42252</v>
      </c>
      <c r="K15" s="10">
        <f t="shared" si="3"/>
        <v>0.458</v>
      </c>
      <c r="L15">
        <f t="shared" si="4"/>
      </c>
      <c r="M15">
        <f t="shared" si="5"/>
      </c>
      <c r="R15" s="30">
        <v>41514</v>
      </c>
    </row>
    <row r="16" spans="1:18" ht="12.75">
      <c r="A16">
        <f t="shared" si="0"/>
        <v>10</v>
      </c>
      <c r="B16" t="s">
        <v>75</v>
      </c>
      <c r="C16">
        <v>9</v>
      </c>
      <c r="D16" t="s">
        <v>173</v>
      </c>
      <c r="E16">
        <v>47.92662</v>
      </c>
      <c r="F16">
        <v>-1.749358</v>
      </c>
      <c r="G16" s="1">
        <v>30.175</v>
      </c>
      <c r="H16" s="10">
        <f t="shared" si="1"/>
        <v>0.03895833333333334</v>
      </c>
      <c r="I16" s="50" t="str">
        <f>INDEX(paramètres!$G$8:$G$14,WEEKDAY(J16))</f>
        <v>samedi</v>
      </c>
      <c r="J16" s="49">
        <f t="shared" si="2"/>
        <v>42252</v>
      </c>
      <c r="K16" s="10">
        <f t="shared" si="3"/>
        <v>0.49695833333333334</v>
      </c>
      <c r="L16">
        <f t="shared" si="4"/>
      </c>
      <c r="M16">
        <f t="shared" si="5"/>
      </c>
      <c r="N16" t="s">
        <v>158</v>
      </c>
      <c r="P16" t="s">
        <v>178</v>
      </c>
      <c r="R16" s="30">
        <v>41514</v>
      </c>
    </row>
    <row r="17" spans="1:18" ht="12.75">
      <c r="A17">
        <f t="shared" si="0"/>
        <v>11</v>
      </c>
      <c r="B17" t="s">
        <v>76</v>
      </c>
      <c r="C17">
        <v>10</v>
      </c>
      <c r="D17" t="s">
        <v>174</v>
      </c>
      <c r="E17">
        <v>47.910815</v>
      </c>
      <c r="F17">
        <v>-1.765688</v>
      </c>
      <c r="G17" s="1">
        <v>33.825</v>
      </c>
      <c r="H17" s="10">
        <f t="shared" si="1"/>
        <v>0.04083333333333335</v>
      </c>
      <c r="I17" s="50" t="str">
        <f>INDEX(paramètres!$G$8:$G$14,WEEKDAY(J17))</f>
        <v>samedi</v>
      </c>
      <c r="J17" s="49">
        <f t="shared" si="2"/>
        <v>42252</v>
      </c>
      <c r="K17" s="10">
        <f t="shared" si="3"/>
        <v>0.5377916666666667</v>
      </c>
      <c r="L17">
        <f t="shared" si="4"/>
        <v>1</v>
      </c>
      <c r="M17">
        <f t="shared" si="5"/>
      </c>
      <c r="R17" s="30">
        <v>41514</v>
      </c>
    </row>
    <row r="18" spans="1:18" ht="12.75">
      <c r="A18">
        <f t="shared" si="0"/>
        <v>12</v>
      </c>
      <c r="B18" t="s">
        <v>77</v>
      </c>
      <c r="C18">
        <v>11</v>
      </c>
      <c r="D18" t="s">
        <v>175</v>
      </c>
      <c r="E18">
        <v>47.866308</v>
      </c>
      <c r="F18">
        <v>-1.777643</v>
      </c>
      <c r="G18" s="1">
        <v>40.65</v>
      </c>
      <c r="H18" s="10">
        <f t="shared" si="1"/>
        <v>0.06729166666666664</v>
      </c>
      <c r="I18" s="50" t="str">
        <f>INDEX(paramètres!$G$8:$G$14,WEEKDAY(J18))</f>
        <v>samedi</v>
      </c>
      <c r="J18" s="49">
        <f t="shared" si="2"/>
        <v>42252</v>
      </c>
      <c r="K18" s="10">
        <f t="shared" si="3"/>
        <v>0.6884166666666667</v>
      </c>
      <c r="L18">
        <f t="shared" si="4"/>
      </c>
      <c r="M18">
        <f t="shared" si="5"/>
      </c>
      <c r="R18" s="30">
        <v>41514</v>
      </c>
    </row>
    <row r="19" spans="1:18" s="33" customFormat="1" ht="12.75">
      <c r="A19" s="33">
        <f t="shared" si="0"/>
        <v>13</v>
      </c>
      <c r="B19" s="33" t="s">
        <v>155</v>
      </c>
      <c r="D19" s="33" t="s">
        <v>156</v>
      </c>
      <c r="E19" s="33">
        <v>47.826991</v>
      </c>
      <c r="F19" s="33">
        <v>-1.816192</v>
      </c>
      <c r="G19" s="35">
        <v>47.13</v>
      </c>
      <c r="H19" s="36">
        <f t="shared" si="1"/>
        <v>0.0644166666666667</v>
      </c>
      <c r="I19" s="50" t="str">
        <f>INDEX(paramètres!$G$8:$G$14,WEEKDAY(J19))</f>
        <v>samedi</v>
      </c>
      <c r="J19" s="48">
        <f t="shared" si="2"/>
        <v>42252</v>
      </c>
      <c r="K19" s="36">
        <f t="shared" si="3"/>
        <v>0.7528333333333334</v>
      </c>
      <c r="L19" s="33">
        <f t="shared" si="4"/>
      </c>
      <c r="M19" s="33">
        <v>1</v>
      </c>
      <c r="N19" s="33" t="s">
        <v>154</v>
      </c>
      <c r="R19" s="37">
        <v>41514</v>
      </c>
    </row>
    <row r="20" spans="1:18" ht="12.75">
      <c r="A20">
        <f t="shared" si="0"/>
        <v>14</v>
      </c>
      <c r="B20" t="s">
        <v>78</v>
      </c>
      <c r="C20">
        <v>12</v>
      </c>
      <c r="D20" t="s">
        <v>176</v>
      </c>
      <c r="E20">
        <v>47.822388</v>
      </c>
      <c r="F20">
        <v>-1.822425</v>
      </c>
      <c r="G20" s="1">
        <v>47.95</v>
      </c>
      <c r="H20" s="10">
        <f t="shared" si="1"/>
        <v>0.006833333333333335</v>
      </c>
      <c r="I20" s="50" t="str">
        <f>INDEX(paramètres!$G$8:$G$14,WEEKDAY(J20))</f>
        <v>dimanche</v>
      </c>
      <c r="J20" s="49">
        <f t="shared" si="2"/>
        <v>42253</v>
      </c>
      <c r="K20" s="10">
        <f t="shared" si="3"/>
        <v>0.42350000000000004</v>
      </c>
      <c r="L20">
        <f t="shared" si="4"/>
      </c>
      <c r="M20">
        <f t="shared" si="5"/>
      </c>
      <c r="N20" t="s">
        <v>158</v>
      </c>
      <c r="R20" s="30">
        <v>41515</v>
      </c>
    </row>
    <row r="21" spans="1:18" ht="12.75">
      <c r="A21">
        <f t="shared" si="0"/>
        <v>15</v>
      </c>
      <c r="B21" t="s">
        <v>79</v>
      </c>
      <c r="C21">
        <v>13</v>
      </c>
      <c r="D21" t="s">
        <v>176</v>
      </c>
      <c r="E21">
        <v>47.798386</v>
      </c>
      <c r="F21">
        <v>-1.842593</v>
      </c>
      <c r="G21" s="1">
        <v>51.95</v>
      </c>
      <c r="H21" s="10">
        <f t="shared" si="1"/>
        <v>0.04375</v>
      </c>
      <c r="I21" s="50" t="str">
        <f>INDEX(paramètres!$G$8:$G$14,WEEKDAY(J21))</f>
        <v>dimanche</v>
      </c>
      <c r="J21" s="49">
        <f t="shared" si="2"/>
        <v>42253</v>
      </c>
      <c r="K21" s="10">
        <f t="shared" si="3"/>
        <v>0.46725000000000005</v>
      </c>
      <c r="L21">
        <f t="shared" si="4"/>
      </c>
      <c r="M21">
        <f t="shared" si="5"/>
      </c>
      <c r="R21" s="30">
        <v>41515</v>
      </c>
    </row>
    <row r="22" spans="1:18" ht="12.75">
      <c r="A22">
        <f t="shared" si="0"/>
        <v>16</v>
      </c>
      <c r="D22" t="s">
        <v>102</v>
      </c>
      <c r="E22">
        <v>47.73885</v>
      </c>
      <c r="F22">
        <v>-1.843631</v>
      </c>
      <c r="G22">
        <v>62</v>
      </c>
      <c r="H22" s="10">
        <f t="shared" si="1"/>
        <v>0.09416666666666665</v>
      </c>
      <c r="I22" s="50" t="str">
        <f>INDEX(paramètres!$G$8:$G$14,WEEKDAY(J22))</f>
        <v>dimanche</v>
      </c>
      <c r="J22" s="49">
        <f t="shared" si="2"/>
        <v>42253</v>
      </c>
      <c r="K22" s="10">
        <f t="shared" si="3"/>
        <v>0.5614166666666667</v>
      </c>
      <c r="L22">
        <f t="shared" si="4"/>
        <v>1</v>
      </c>
      <c r="M22">
        <f t="shared" si="5"/>
      </c>
      <c r="N22" t="s">
        <v>158</v>
      </c>
      <c r="R22" s="30">
        <v>41515</v>
      </c>
    </row>
    <row r="23" spans="1:18" ht="12.75">
      <c r="A23">
        <f t="shared" si="0"/>
        <v>17</v>
      </c>
      <c r="D23" t="s">
        <v>103</v>
      </c>
      <c r="E23">
        <v>47.708146</v>
      </c>
      <c r="F23">
        <v>-1.852781</v>
      </c>
      <c r="G23">
        <v>64</v>
      </c>
      <c r="H23" s="10">
        <f t="shared" si="1"/>
        <v>0.016666666666666666</v>
      </c>
      <c r="I23" s="50" t="str">
        <f>INDEX(paramètres!$G$8:$G$14,WEEKDAY(J23))</f>
        <v>dimanche</v>
      </c>
      <c r="J23" s="49">
        <f t="shared" si="2"/>
        <v>42253</v>
      </c>
      <c r="K23" s="10">
        <f t="shared" si="3"/>
        <v>0.6614166666666668</v>
      </c>
      <c r="L23">
        <f t="shared" si="4"/>
      </c>
      <c r="M23">
        <f t="shared" si="5"/>
      </c>
      <c r="N23" t="s">
        <v>158</v>
      </c>
      <c r="R23" s="30">
        <v>41515</v>
      </c>
    </row>
    <row r="24" spans="1:18" s="33" customFormat="1" ht="12.75">
      <c r="A24" s="33">
        <f t="shared" si="0"/>
        <v>18</v>
      </c>
      <c r="D24" s="33" t="s">
        <v>104</v>
      </c>
      <c r="E24" s="33">
        <v>47.701641</v>
      </c>
      <c r="F24" s="33">
        <v>-1.867559</v>
      </c>
      <c r="G24" s="33">
        <v>69</v>
      </c>
      <c r="H24" s="36">
        <f t="shared" si="1"/>
        <v>0.041666666666666664</v>
      </c>
      <c r="I24" s="50" t="str">
        <f>INDEX(paramètres!$G$8:$G$14,WEEKDAY(J24))</f>
        <v>dimanche</v>
      </c>
      <c r="J24" s="48">
        <f t="shared" si="2"/>
        <v>42253</v>
      </c>
      <c r="K24" s="36">
        <f t="shared" si="3"/>
        <v>0.7030833333333334</v>
      </c>
      <c r="L24" s="33">
        <f t="shared" si="4"/>
      </c>
      <c r="M24" s="33">
        <f t="shared" si="5"/>
        <v>1</v>
      </c>
      <c r="N24" s="33" t="s">
        <v>158</v>
      </c>
      <c r="R24" s="37">
        <v>41515</v>
      </c>
    </row>
    <row r="25" spans="1:18" ht="12.75">
      <c r="A25">
        <f t="shared" si="0"/>
        <v>19</v>
      </c>
      <c r="D25" t="s">
        <v>105</v>
      </c>
      <c r="E25">
        <v>47.679767</v>
      </c>
      <c r="F25">
        <v>-1.978421</v>
      </c>
      <c r="G25">
        <v>80.5</v>
      </c>
      <c r="H25" s="10">
        <f t="shared" si="1"/>
        <v>0.09583333333333334</v>
      </c>
      <c r="I25" s="50" t="str">
        <f>INDEX(paramètres!$G$8:$G$14,WEEKDAY(J25))</f>
        <v>lundi</v>
      </c>
      <c r="J25" s="49">
        <f t="shared" si="2"/>
        <v>42254</v>
      </c>
      <c r="K25" s="10">
        <f t="shared" si="3"/>
        <v>0.5125000000000001</v>
      </c>
      <c r="L25">
        <f t="shared" si="4"/>
      </c>
      <c r="M25">
        <f t="shared" si="5"/>
      </c>
      <c r="N25" t="s">
        <v>158</v>
      </c>
      <c r="R25" s="30">
        <v>41516</v>
      </c>
    </row>
    <row r="26" spans="1:18" ht="12.75">
      <c r="A26">
        <f t="shared" si="0"/>
        <v>20</v>
      </c>
      <c r="D26" t="s">
        <v>106</v>
      </c>
      <c r="E26">
        <v>47.648219</v>
      </c>
      <c r="F26">
        <v>-2.084325</v>
      </c>
      <c r="G26">
        <v>89.2</v>
      </c>
      <c r="H26" s="10">
        <f t="shared" si="1"/>
        <v>0.07250000000000002</v>
      </c>
      <c r="I26" s="50" t="str">
        <f>INDEX(paramètres!$G$8:$G$14,WEEKDAY(J26))</f>
        <v>lundi</v>
      </c>
      <c r="J26" s="49">
        <f t="shared" si="2"/>
        <v>42254</v>
      </c>
      <c r="K26" s="10">
        <f t="shared" si="3"/>
        <v>0.5850000000000001</v>
      </c>
      <c r="L26">
        <f t="shared" si="4"/>
        <v>1</v>
      </c>
      <c r="M26">
        <f t="shared" si="5"/>
      </c>
      <c r="R26" s="30">
        <v>41516</v>
      </c>
    </row>
    <row r="27" spans="1:18" ht="12.75">
      <c r="A27">
        <f t="shared" si="0"/>
        <v>21</v>
      </c>
      <c r="D27" t="s">
        <v>107</v>
      </c>
      <c r="E27">
        <v>47.648219</v>
      </c>
      <c r="F27">
        <v>-2.084325</v>
      </c>
      <c r="G27">
        <v>89.5</v>
      </c>
      <c r="H27" s="10">
        <f t="shared" si="1"/>
        <v>0.002499999999999976</v>
      </c>
      <c r="I27" s="50" t="str">
        <f>INDEX(paramètres!$G$8:$G$14,WEEKDAY(J27))</f>
        <v>lundi</v>
      </c>
      <c r="J27" s="49">
        <f t="shared" si="2"/>
        <v>42254</v>
      </c>
      <c r="K27" s="10">
        <f t="shared" si="3"/>
        <v>0.6708333333333334</v>
      </c>
      <c r="L27">
        <f t="shared" si="4"/>
      </c>
      <c r="M27">
        <f t="shared" si="5"/>
      </c>
      <c r="R27" s="30">
        <v>41516</v>
      </c>
    </row>
    <row r="28" spans="1:18" ht="12.75">
      <c r="A28">
        <f t="shared" si="0"/>
        <v>22</v>
      </c>
      <c r="D28" t="s">
        <v>108</v>
      </c>
      <c r="E28">
        <v>47.647907</v>
      </c>
      <c r="F28">
        <v>-2.084589</v>
      </c>
      <c r="G28">
        <v>89.95</v>
      </c>
      <c r="H28" s="10">
        <f t="shared" si="1"/>
        <v>0.0037500000000000237</v>
      </c>
      <c r="I28" s="50" t="str">
        <f>INDEX(paramètres!$G$8:$G$14,WEEKDAY(J28))</f>
        <v>lundi</v>
      </c>
      <c r="J28" s="49">
        <f t="shared" si="2"/>
        <v>42254</v>
      </c>
      <c r="K28" s="10">
        <f t="shared" si="3"/>
        <v>0.6745833333333334</v>
      </c>
      <c r="L28">
        <f t="shared" si="4"/>
      </c>
      <c r="M28">
        <f t="shared" si="5"/>
      </c>
      <c r="N28" t="s">
        <v>154</v>
      </c>
      <c r="R28" s="30">
        <v>41516</v>
      </c>
    </row>
  </sheetData>
  <sheetProtection/>
  <mergeCells count="1">
    <mergeCell ref="I6:J6"/>
  </mergeCells>
  <conditionalFormatting sqref="A7:IV65536 K6:IV6 A6:I6 A1:IV5">
    <cfRule type="expression" priority="1" dxfId="0" stopIfTrue="1">
      <formula>ISNUMBER(INDIRECT(ADDRESS(ROW(),13)))</formula>
    </cfRule>
  </conditionalFormatting>
  <hyperlinks>
    <hyperlink ref="D1" r:id="rId1" display="http://www.fluvialnet.com/voies-navigables/region-ouest-2/voie-vilaine-amont-33"/>
    <hyperlink ref="Q6" r:id="rId2" display="http://www.exoti.com/rubriques/Bretagne_Redon_Rennes/fr/vilaine06.html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10.7109375" style="0" customWidth="1"/>
    <col min="2" max="2" width="17.57421875" style="0" customWidth="1"/>
    <col min="3" max="3" width="6.57421875" style="0" customWidth="1"/>
    <col min="4" max="4" width="22.00390625" style="0" customWidth="1"/>
    <col min="5" max="6" width="11.421875" style="0" hidden="1" customWidth="1"/>
    <col min="7" max="7" width="5.8515625" style="0" customWidth="1"/>
    <col min="9" max="9" width="9.7109375" style="0" customWidth="1"/>
    <col min="10" max="10" width="7.8515625" style="49" customWidth="1"/>
    <col min="16" max="16" width="27.28125" style="0" customWidth="1"/>
  </cols>
  <sheetData>
    <row r="1" spans="1:4" ht="12.75">
      <c r="A1" t="s">
        <v>80</v>
      </c>
      <c r="B1">
        <v>25</v>
      </c>
      <c r="D1" s="21" t="s">
        <v>179</v>
      </c>
    </row>
    <row r="2" spans="1:2" ht="12.75">
      <c r="A2" t="s">
        <v>81</v>
      </c>
      <c r="B2">
        <v>4.1</v>
      </c>
    </row>
    <row r="3" spans="1:2" ht="12.75">
      <c r="A3" t="s">
        <v>82</v>
      </c>
      <c r="B3">
        <f>G14-G7</f>
        <v>40.05</v>
      </c>
    </row>
    <row r="4" spans="1:2" ht="12.75">
      <c r="A4" t="s">
        <v>83</v>
      </c>
      <c r="B4">
        <v>1</v>
      </c>
    </row>
    <row r="6" spans="1:16" ht="25.5">
      <c r="A6" s="16" t="s">
        <v>118</v>
      </c>
      <c r="B6" s="7" t="s">
        <v>1</v>
      </c>
      <c r="C6" s="16" t="s">
        <v>119</v>
      </c>
      <c r="D6" s="7" t="s">
        <v>2</v>
      </c>
      <c r="E6" s="14" t="s">
        <v>115</v>
      </c>
      <c r="F6" s="14" t="s">
        <v>116</v>
      </c>
      <c r="G6" s="7" t="s">
        <v>0</v>
      </c>
      <c r="H6" s="9" t="s">
        <v>94</v>
      </c>
      <c r="I6" s="80" t="s">
        <v>201</v>
      </c>
      <c r="J6" s="81"/>
      <c r="K6" s="8" t="s">
        <v>95</v>
      </c>
      <c r="L6" s="8" t="s">
        <v>96</v>
      </c>
      <c r="M6" s="8" t="s">
        <v>97</v>
      </c>
      <c r="N6" s="24" t="s">
        <v>153</v>
      </c>
      <c r="O6" s="20" t="s">
        <v>117</v>
      </c>
      <c r="P6" s="20" t="s">
        <v>120</v>
      </c>
    </row>
    <row r="7" spans="1:18" s="33" customFormat="1" ht="12.75">
      <c r="A7" s="33">
        <v>1</v>
      </c>
      <c r="D7" s="33" t="s">
        <v>108</v>
      </c>
      <c r="E7" s="33">
        <v>47.647907</v>
      </c>
      <c r="F7" s="33">
        <v>-2.084589</v>
      </c>
      <c r="G7" s="33">
        <v>89.95</v>
      </c>
      <c r="H7" s="36">
        <v>0</v>
      </c>
      <c r="I7" s="50" t="str">
        <f>INDEX(paramètres!$G$8:$G$14,WEEKDAY(J7))</f>
        <v>lundi</v>
      </c>
      <c r="J7" s="48">
        <f>'Vilaine amont'!J28</f>
        <v>42254</v>
      </c>
      <c r="K7" s="36">
        <f>'Vilaine amont'!K28</f>
        <v>0.6745833333333334</v>
      </c>
      <c r="L7" s="33">
        <f>IF(AND(K7&gt;m,K7&lt;m+p),1,"")</f>
      </c>
      <c r="M7" s="33">
        <v>1</v>
      </c>
      <c r="N7" s="33" t="s">
        <v>154</v>
      </c>
      <c r="P7" s="23" t="s">
        <v>211</v>
      </c>
      <c r="R7" s="37">
        <v>41516</v>
      </c>
    </row>
    <row r="8" spans="1:18" s="33" customFormat="1" ht="12.75">
      <c r="A8" s="33">
        <f aca="true" t="shared" si="0" ref="A8:A14">A7+1</f>
        <v>2</v>
      </c>
      <c r="D8" s="33" t="s">
        <v>109</v>
      </c>
      <c r="E8" s="33">
        <v>47.641967</v>
      </c>
      <c r="F8" s="33">
        <v>-2.091139</v>
      </c>
      <c r="G8" s="33">
        <v>93</v>
      </c>
      <c r="H8" s="36">
        <f aca="true" t="shared" si="1" ref="H8:H14">IF(ISNUMBER(C7),e,0)+(G8-G7)/v</f>
        <v>0.025416666666666643</v>
      </c>
      <c r="I8" s="50" t="str">
        <f>INDEX(paramètres!$G$8:$G$14,WEEKDAY(J8))</f>
        <v>mardi</v>
      </c>
      <c r="J8" s="48">
        <f aca="true" t="shared" si="2" ref="J8:J14">J7+IF(ISNUMBER(M7),M7,0)</f>
        <v>42255</v>
      </c>
      <c r="K8" s="36">
        <f aca="true" t="shared" si="3" ref="K8:K14">H8+IF(ISNUMBER(M7),d,K7+IF(L7=1,p,0))</f>
        <v>0.44208333333333333</v>
      </c>
      <c r="L8" s="33">
        <f>IF(AND(K8&gt;m,K8&lt;m+p),1,"")</f>
      </c>
      <c r="M8" s="33">
        <v>1</v>
      </c>
      <c r="P8" s="33" t="s">
        <v>128</v>
      </c>
      <c r="R8" s="37">
        <v>41517</v>
      </c>
    </row>
    <row r="9" spans="1:18" ht="12.75">
      <c r="A9">
        <f t="shared" si="0"/>
        <v>3</v>
      </c>
      <c r="D9" t="s">
        <v>101</v>
      </c>
      <c r="E9">
        <v>47.602265</v>
      </c>
      <c r="F9">
        <v>-2.08821</v>
      </c>
      <c r="G9">
        <v>96</v>
      </c>
      <c r="H9" s="10">
        <f t="shared" si="1"/>
        <v>0.025</v>
      </c>
      <c r="I9" s="50" t="str">
        <f>INDEX(paramètres!$G$8:$G$14,WEEKDAY(J9))</f>
        <v>mercredi</v>
      </c>
      <c r="J9" s="49">
        <f t="shared" si="2"/>
        <v>42256</v>
      </c>
      <c r="K9" s="10">
        <f t="shared" si="3"/>
        <v>0.4416666666666667</v>
      </c>
      <c r="L9">
        <f>IF(AND(K9&gt;m,K9&lt;m+p),1,"")</f>
      </c>
      <c r="M9">
        <f>IF(K9+H10&gt;f,1,"")</f>
      </c>
      <c r="P9" t="s">
        <v>180</v>
      </c>
      <c r="R9" s="30">
        <v>41518</v>
      </c>
    </row>
    <row r="10" spans="1:18" ht="12.75">
      <c r="A10">
        <f t="shared" si="0"/>
        <v>4</v>
      </c>
      <c r="D10" t="s">
        <v>100</v>
      </c>
      <c r="E10">
        <v>47.597118</v>
      </c>
      <c r="F10">
        <v>-2.100391</v>
      </c>
      <c r="G10">
        <v>97</v>
      </c>
      <c r="H10" s="10">
        <f t="shared" si="1"/>
        <v>0.008333333333333333</v>
      </c>
      <c r="I10" s="50" t="str">
        <f>INDEX(paramètres!$G$8:$G$14,WEEKDAY(J10))</f>
        <v>mercredi</v>
      </c>
      <c r="J10" s="49">
        <f t="shared" si="2"/>
        <v>42256</v>
      </c>
      <c r="K10" s="10">
        <f t="shared" si="3"/>
        <v>0.45000000000000007</v>
      </c>
      <c r="L10">
        <f>IF(AND(K10&gt;m,K10&lt;m+p),1,"")</f>
      </c>
      <c r="M10">
        <f>IF(K10+H12&gt;f,1,"")</f>
      </c>
      <c r="N10" t="s">
        <v>158</v>
      </c>
      <c r="R10" s="30">
        <v>41518</v>
      </c>
    </row>
    <row r="11" spans="1:18" ht="12.75">
      <c r="A11">
        <f t="shared" si="0"/>
        <v>5</v>
      </c>
      <c r="D11" t="s">
        <v>151</v>
      </c>
      <c r="E11">
        <v>47.580156</v>
      </c>
      <c r="F11">
        <v>-2.126359</v>
      </c>
      <c r="G11">
        <f>G10+4.34</f>
        <v>101.34</v>
      </c>
      <c r="H11" s="10">
        <f t="shared" si="1"/>
        <v>0.036166666666666694</v>
      </c>
      <c r="I11" s="50" t="str">
        <f>INDEX(paramètres!$G$8:$G$14,WEEKDAY(J11))</f>
        <v>mercredi</v>
      </c>
      <c r="J11" s="49">
        <f t="shared" si="2"/>
        <v>42256</v>
      </c>
      <c r="K11" s="10">
        <f t="shared" si="3"/>
        <v>0.48616666666666675</v>
      </c>
      <c r="L11">
        <v>1</v>
      </c>
      <c r="P11" t="s">
        <v>152</v>
      </c>
      <c r="R11" s="30">
        <v>41518</v>
      </c>
    </row>
    <row r="12" spans="1:18" ht="12.75">
      <c r="A12">
        <f t="shared" si="0"/>
        <v>6</v>
      </c>
      <c r="D12" t="s">
        <v>98</v>
      </c>
      <c r="E12">
        <v>47.576053</v>
      </c>
      <c r="F12">
        <v>-2.281824</v>
      </c>
      <c r="G12">
        <v>115</v>
      </c>
      <c r="H12" s="10">
        <f t="shared" si="1"/>
        <v>0.1138333333333333</v>
      </c>
      <c r="I12" s="50" t="str">
        <f>INDEX(paramètres!$G$8:$G$14,WEEKDAY(J12))</f>
        <v>mercredi</v>
      </c>
      <c r="J12" s="49">
        <f t="shared" si="2"/>
        <v>42256</v>
      </c>
      <c r="K12" s="10">
        <f t="shared" si="3"/>
        <v>0.6833333333333335</v>
      </c>
      <c r="L12">
        <f>IF(AND(K12&gt;m,K12&lt;m+p),1,"")</f>
      </c>
      <c r="M12">
        <f>IF(K12+H13&gt;f,1,"")</f>
      </c>
      <c r="N12" t="s">
        <v>154</v>
      </c>
      <c r="R12" s="30">
        <v>41518</v>
      </c>
    </row>
    <row r="13" spans="1:18" s="33" customFormat="1" ht="12.75">
      <c r="A13" s="33">
        <f t="shared" si="0"/>
        <v>7</v>
      </c>
      <c r="D13" s="33" t="s">
        <v>99</v>
      </c>
      <c r="E13" s="33">
        <v>47.522404</v>
      </c>
      <c r="F13" s="33">
        <v>-2.307134</v>
      </c>
      <c r="G13" s="33">
        <v>122</v>
      </c>
      <c r="H13" s="36">
        <f t="shared" si="1"/>
        <v>0.058333333333333334</v>
      </c>
      <c r="I13" s="50" t="str">
        <f>INDEX(paramètres!$G$8:$G$14,WEEKDAY(J13))</f>
        <v>mercredi</v>
      </c>
      <c r="J13" s="48">
        <f t="shared" si="2"/>
        <v>42256</v>
      </c>
      <c r="K13" s="36">
        <f t="shared" si="3"/>
        <v>0.7416666666666668</v>
      </c>
      <c r="L13" s="33">
        <f>IF(AND(K13&gt;m,K13&lt;m+p),1,"")</f>
      </c>
      <c r="M13" s="33">
        <f>IF(K13+H14&gt;f,1,"")</f>
        <v>1</v>
      </c>
      <c r="N13" s="33" t="s">
        <v>154</v>
      </c>
      <c r="R13" s="37">
        <v>41518</v>
      </c>
    </row>
    <row r="14" spans="1:18" ht="12.75">
      <c r="A14">
        <f t="shared" si="0"/>
        <v>8</v>
      </c>
      <c r="B14" t="s">
        <v>84</v>
      </c>
      <c r="D14" t="s">
        <v>85</v>
      </c>
      <c r="E14">
        <v>47.4978</v>
      </c>
      <c r="F14">
        <v>-2.376086</v>
      </c>
      <c r="G14">
        <v>130</v>
      </c>
      <c r="H14" s="10">
        <f t="shared" si="1"/>
        <v>0.06666666666666667</v>
      </c>
      <c r="I14" s="50" t="str">
        <f>INDEX(paramètres!$G$8:$G$14,WEEKDAY(J14))</f>
        <v>jeudi</v>
      </c>
      <c r="J14" s="49">
        <f t="shared" si="2"/>
        <v>42257</v>
      </c>
      <c r="K14" s="10">
        <f t="shared" si="3"/>
        <v>0.48333333333333334</v>
      </c>
      <c r="L14">
        <f>IF(AND(K14&gt;m,K14&lt;m+p),1,"")</f>
      </c>
      <c r="M14">
        <f>IF(K14+H16&gt;f,1,"")</f>
      </c>
      <c r="N14" t="s">
        <v>154</v>
      </c>
      <c r="R14" s="30">
        <v>41519</v>
      </c>
    </row>
    <row r="15" ht="12.75">
      <c r="K15" s="10"/>
    </row>
    <row r="16" spans="8:9" ht="12.75">
      <c r="H16" s="10"/>
      <c r="I16" s="10"/>
    </row>
  </sheetData>
  <sheetProtection/>
  <mergeCells count="1">
    <mergeCell ref="I6:J6"/>
  </mergeCells>
  <conditionalFormatting sqref="A1:IV5 A7:IV65536 K6:IV6 A6:I6">
    <cfRule type="expression" priority="1" dxfId="0" stopIfTrue="1">
      <formula>ISNUMBER(INDIRECT(ADDRESS(ROW(),13)))</formula>
    </cfRule>
  </conditionalFormatting>
  <hyperlinks>
    <hyperlink ref="D1" r:id="rId1" display="http://www.fluvialnet.com/voies-navigables/region-ouest-2/voie-vilaine-aval-34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"/>
  <sheetViews>
    <sheetView tabSelected="1" zoomScalePageLayoutView="0" workbookViewId="0" topLeftCell="A1">
      <selection activeCell="R13" sqref="R13"/>
    </sheetView>
  </sheetViews>
  <sheetFormatPr defaultColWidth="11.421875" defaultRowHeight="12.75"/>
  <cols>
    <col min="1" max="1" width="7.8515625" style="0" customWidth="1"/>
    <col min="2" max="2" width="12.57421875" style="0" hidden="1" customWidth="1"/>
    <col min="3" max="3" width="6.140625" style="0" hidden="1" customWidth="1"/>
    <col min="4" max="4" width="22.140625" style="0" customWidth="1"/>
    <col min="5" max="6" width="0" style="0" hidden="1" customWidth="1"/>
    <col min="7" max="7" width="6.421875" style="0" customWidth="1"/>
    <col min="8" max="8" width="0" style="0" hidden="1" customWidth="1"/>
    <col min="9" max="9" width="9.00390625" style="0" customWidth="1"/>
    <col min="10" max="10" width="8.00390625" style="49" customWidth="1"/>
    <col min="11" max="12" width="0" style="0" hidden="1" customWidth="1"/>
    <col min="13" max="13" width="8.7109375" style="0" customWidth="1"/>
    <col min="14" max="14" width="7.28125" style="0" customWidth="1"/>
    <col min="15" max="16" width="0" style="0" hidden="1" customWidth="1"/>
    <col min="17" max="17" width="28.8515625" style="0" customWidth="1"/>
  </cols>
  <sheetData>
    <row r="1" ht="12.75"/>
    <row r="2" spans="1:17" ht="153">
      <c r="A2" s="16" t="s">
        <v>118</v>
      </c>
      <c r="B2" s="16" t="s">
        <v>1</v>
      </c>
      <c r="C2" s="16" t="s">
        <v>119</v>
      </c>
      <c r="D2" s="16" t="s">
        <v>2</v>
      </c>
      <c r="E2" s="18" t="s">
        <v>115</v>
      </c>
      <c r="F2" s="18" t="s">
        <v>116</v>
      </c>
      <c r="G2" s="40" t="s">
        <v>236</v>
      </c>
      <c r="H2" s="17" t="s">
        <v>94</v>
      </c>
      <c r="I2" s="82" t="s">
        <v>201</v>
      </c>
      <c r="J2" s="83"/>
      <c r="K2" s="27" t="s">
        <v>95</v>
      </c>
      <c r="L2" s="17" t="s">
        <v>96</v>
      </c>
      <c r="M2" s="27" t="s">
        <v>255</v>
      </c>
      <c r="N2" s="17" t="s">
        <v>97</v>
      </c>
      <c r="O2" s="25" t="s">
        <v>159</v>
      </c>
      <c r="P2" s="20" t="s">
        <v>117</v>
      </c>
      <c r="Q2" s="20" t="s">
        <v>120</v>
      </c>
    </row>
    <row r="3" spans="1:14" ht="12.75">
      <c r="A3">
        <v>1</v>
      </c>
      <c r="D3" s="13" t="s">
        <v>85</v>
      </c>
      <c r="I3" s="47" t="str">
        <f>INDEX(paramètres!$G$8:$G$14,WEEKDAY(J3))</f>
        <v>jeudi</v>
      </c>
      <c r="J3" s="48">
        <f>'vilaine aval'!J14</f>
        <v>42257</v>
      </c>
      <c r="M3" s="10">
        <f>paramètres!M21</f>
        <v>0.6743055555555556</v>
      </c>
      <c r="N3">
        <v>1</v>
      </c>
    </row>
    <row r="4" spans="1:14" ht="12.75">
      <c r="A4">
        <f>A3+1</f>
        <v>2</v>
      </c>
      <c r="D4" s="13" t="s">
        <v>234</v>
      </c>
      <c r="G4">
        <v>25</v>
      </c>
      <c r="I4" s="47" t="str">
        <f>INDEX(paramètres!$G$8:$G$14,WEEKDAY(J4))</f>
        <v>vendredi</v>
      </c>
      <c r="J4" s="48">
        <f>J3+IF(ISNUMBER(N3),N3,0)</f>
        <v>42258</v>
      </c>
      <c r="M4" s="10">
        <f>paramètres!M22</f>
        <v>0.7027777777777778</v>
      </c>
      <c r="N4">
        <v>1</v>
      </c>
    </row>
    <row r="5" spans="1:14" ht="12.75">
      <c r="A5">
        <f>A4+1</f>
        <v>3</v>
      </c>
      <c r="D5" s="26" t="s">
        <v>235</v>
      </c>
      <c r="G5">
        <v>17</v>
      </c>
      <c r="I5" s="47" t="str">
        <f>INDEX(paramètres!$G$8:$G$14,WEEKDAY(J5))</f>
        <v>samedi</v>
      </c>
      <c r="J5" s="48">
        <f>J4+IF(ISNUMBER(N4),N4,0)</f>
        <v>42259</v>
      </c>
      <c r="M5" s="10">
        <f>paramètres!M23</f>
        <v>0.7159722222222222</v>
      </c>
      <c r="N5">
        <v>1</v>
      </c>
    </row>
    <row r="6" spans="1:17" ht="12.75">
      <c r="A6">
        <f>A5+1</f>
        <v>4</v>
      </c>
      <c r="D6" s="26" t="s">
        <v>222</v>
      </c>
      <c r="G6">
        <v>25</v>
      </c>
      <c r="H6" s="33"/>
      <c r="I6" s="47" t="str">
        <f>INDEX(paramètres!$G$8:$G$14,WEEKDAY(J6))</f>
        <v>dimanche</v>
      </c>
      <c r="J6" s="48">
        <f>J5+IF(ISNUMBER(N5),N5,0)</f>
        <v>42260</v>
      </c>
      <c r="M6" s="10">
        <f>paramètres!M24</f>
        <v>0.23263888888888887</v>
      </c>
      <c r="N6">
        <v>2</v>
      </c>
      <c r="Q6" s="13" t="s">
        <v>258</v>
      </c>
    </row>
  </sheetData>
  <sheetProtection/>
  <mergeCells count="1">
    <mergeCell ref="I2:J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22.28125" style="0" customWidth="1"/>
    <col min="10" max="10" width="7.7109375" style="0" customWidth="1"/>
    <col min="11" max="11" width="6.57421875" style="0" customWidth="1"/>
    <col min="12" max="12" width="7.8515625" style="0" customWidth="1"/>
    <col min="13" max="13" width="8.00390625" style="0" customWidth="1"/>
  </cols>
  <sheetData>
    <row r="1" ht="12.75">
      <c r="A1" t="s">
        <v>92</v>
      </c>
    </row>
    <row r="2" spans="1:2" ht="12.75">
      <c r="A2" s="4" t="s">
        <v>87</v>
      </c>
      <c r="B2" s="5" t="s">
        <v>86</v>
      </c>
    </row>
    <row r="3" spans="1:2" ht="13.5" thickBot="1">
      <c r="A3" s="6">
        <v>1.1</v>
      </c>
      <c r="B3" s="2" t="s">
        <v>90</v>
      </c>
    </row>
    <row r="4" spans="1:13" ht="12.75">
      <c r="A4" s="6">
        <v>1.2</v>
      </c>
      <c r="B4" s="2" t="s">
        <v>88</v>
      </c>
      <c r="I4" s="57"/>
      <c r="J4" s="58" t="s">
        <v>251</v>
      </c>
      <c r="K4" s="59"/>
      <c r="L4" s="59"/>
      <c r="M4" s="60"/>
    </row>
    <row r="5" spans="1:13" ht="12.75">
      <c r="A5" s="6">
        <v>1.2</v>
      </c>
      <c r="B5" s="2" t="s">
        <v>89</v>
      </c>
      <c r="I5" s="70"/>
      <c r="J5" s="62"/>
      <c r="K5" s="62"/>
      <c r="L5" s="62"/>
      <c r="M5" s="63"/>
    </row>
    <row r="6" spans="1:13" ht="26.25" customHeight="1">
      <c r="A6" s="6">
        <v>1.2</v>
      </c>
      <c r="B6" s="3" t="s">
        <v>91</v>
      </c>
      <c r="I6" s="64" t="s">
        <v>246</v>
      </c>
      <c r="J6" s="65" t="s">
        <v>248</v>
      </c>
      <c r="K6" s="65" t="s">
        <v>249</v>
      </c>
      <c r="L6" s="65" t="s">
        <v>247</v>
      </c>
      <c r="M6" s="66" t="s">
        <v>250</v>
      </c>
    </row>
    <row r="7" spans="7:13" ht="12.75">
      <c r="G7" s="13" t="s">
        <v>245</v>
      </c>
      <c r="I7" s="61" t="s">
        <v>222</v>
      </c>
      <c r="J7" s="77">
        <v>42168</v>
      </c>
      <c r="K7" s="78">
        <v>0.6402777777777778</v>
      </c>
      <c r="L7" s="68">
        <f>'début maritime'!J3</f>
        <v>42168</v>
      </c>
      <c r="M7" s="69">
        <f aca="true" t="shared" si="0" ref="M7:M24">K7+dm*(L7-J7)</f>
        <v>0.6402777777777778</v>
      </c>
    </row>
    <row r="8" spans="7:13" ht="12.75">
      <c r="G8" s="54" t="s">
        <v>239</v>
      </c>
      <c r="I8" s="61" t="s">
        <v>223</v>
      </c>
      <c r="J8" s="77">
        <v>42169</v>
      </c>
      <c r="K8" s="78">
        <v>0.6694444444444444</v>
      </c>
      <c r="L8" s="68">
        <f>'début maritime'!J4</f>
        <v>42169</v>
      </c>
      <c r="M8" s="69">
        <f t="shared" si="0"/>
        <v>0.6694444444444444</v>
      </c>
    </row>
    <row r="9" spans="1:13" ht="12.75">
      <c r="A9" t="s">
        <v>93</v>
      </c>
      <c r="B9" s="11">
        <v>5</v>
      </c>
      <c r="G9" s="54" t="s">
        <v>237</v>
      </c>
      <c r="I9" s="70" t="s">
        <v>224</v>
      </c>
      <c r="J9" s="77">
        <v>42170</v>
      </c>
      <c r="K9" s="78">
        <v>0.7013888888888888</v>
      </c>
      <c r="L9" s="68">
        <f>'début maritime'!J5</f>
        <v>42170</v>
      </c>
      <c r="M9" s="69">
        <f t="shared" si="0"/>
        <v>0.7013888888888888</v>
      </c>
    </row>
    <row r="10" spans="1:13" ht="12.75">
      <c r="A10" s="13" t="s">
        <v>114</v>
      </c>
      <c r="B10" s="12">
        <v>0.010416666666666666</v>
      </c>
      <c r="G10" s="54" t="s">
        <v>238</v>
      </c>
      <c r="I10" s="71" t="s">
        <v>225</v>
      </c>
      <c r="J10" s="77">
        <v>42172</v>
      </c>
      <c r="K10" s="78">
        <v>0.75625</v>
      </c>
      <c r="L10" s="68">
        <f>'début maritime'!J6</f>
        <v>42172</v>
      </c>
      <c r="M10" s="69">
        <f t="shared" si="0"/>
        <v>0.75625</v>
      </c>
    </row>
    <row r="11" spans="1:13" ht="12.75">
      <c r="A11" t="s">
        <v>110</v>
      </c>
      <c r="B11" s="12">
        <v>0.4166666666666667</v>
      </c>
      <c r="G11" s="54" t="s">
        <v>240</v>
      </c>
      <c r="I11" s="71" t="s">
        <v>226</v>
      </c>
      <c r="J11" s="77">
        <v>42173</v>
      </c>
      <c r="K11" s="78">
        <v>0.28611111111111115</v>
      </c>
      <c r="L11" s="68">
        <f>'début maritime'!J7</f>
        <v>42173</v>
      </c>
      <c r="M11" s="69">
        <f t="shared" si="0"/>
        <v>0.28611111111111115</v>
      </c>
    </row>
    <row r="12" spans="1:13" ht="12.75">
      <c r="A12" t="s">
        <v>111</v>
      </c>
      <c r="B12" s="12">
        <v>0.5208333333333334</v>
      </c>
      <c r="G12" s="54" t="s">
        <v>241</v>
      </c>
      <c r="I12" s="71" t="s">
        <v>227</v>
      </c>
      <c r="J12" s="77">
        <v>42175</v>
      </c>
      <c r="K12" s="85">
        <v>0.3534722222222222</v>
      </c>
      <c r="L12" s="68">
        <f>'début maritime'!J8</f>
        <v>42175</v>
      </c>
      <c r="M12" s="69">
        <f t="shared" si="0"/>
        <v>0.3534722222222222</v>
      </c>
    </row>
    <row r="13" spans="1:13" ht="12.75">
      <c r="A13" s="13" t="s">
        <v>113</v>
      </c>
      <c r="B13" s="12">
        <v>0.08333333333333333</v>
      </c>
      <c r="G13" s="54" t="s">
        <v>242</v>
      </c>
      <c r="I13" s="71" t="s">
        <v>228</v>
      </c>
      <c r="J13" s="77">
        <v>42176</v>
      </c>
      <c r="K13" s="78">
        <v>0.3923611111111111</v>
      </c>
      <c r="L13" s="68">
        <f>'début maritime'!J9</f>
        <v>42176</v>
      </c>
      <c r="M13" s="69">
        <f t="shared" si="0"/>
        <v>0.3923611111111111</v>
      </c>
    </row>
    <row r="14" spans="1:13" ht="12.75">
      <c r="A14" t="s">
        <v>112</v>
      </c>
      <c r="B14" s="12">
        <v>0.7708333333333334</v>
      </c>
      <c r="G14" s="54" t="s">
        <v>243</v>
      </c>
      <c r="I14" s="71" t="s">
        <v>229</v>
      </c>
      <c r="J14" s="77">
        <v>42178</v>
      </c>
      <c r="K14" s="78">
        <v>0.46875</v>
      </c>
      <c r="L14" s="68">
        <f>'début maritime'!J10</f>
        <v>42178</v>
      </c>
      <c r="M14" s="69">
        <f t="shared" si="0"/>
        <v>0.46875</v>
      </c>
    </row>
    <row r="15" spans="1:13" ht="12.75">
      <c r="A15" s="13" t="s">
        <v>207</v>
      </c>
      <c r="B15" s="10">
        <v>0.375</v>
      </c>
      <c r="I15" s="71" t="s">
        <v>230</v>
      </c>
      <c r="J15" s="77">
        <v>42180</v>
      </c>
      <c r="K15" s="78">
        <v>0.5548611111111111</v>
      </c>
      <c r="L15" s="68">
        <f>'début maritime'!J11</f>
        <v>42180</v>
      </c>
      <c r="M15" s="69">
        <f t="shared" si="0"/>
        <v>0.5548611111111111</v>
      </c>
    </row>
    <row r="16" spans="1:13" ht="12.75">
      <c r="A16" s="26" t="s">
        <v>208</v>
      </c>
      <c r="B16" s="10">
        <v>0.8333333333333334</v>
      </c>
      <c r="I16" s="71" t="s">
        <v>231</v>
      </c>
      <c r="J16" s="77">
        <v>42182</v>
      </c>
      <c r="K16" s="78">
        <v>0.6749999999999999</v>
      </c>
      <c r="L16" s="68">
        <f>'début maritime'!J12</f>
        <v>42182</v>
      </c>
      <c r="M16" s="69">
        <f t="shared" si="0"/>
        <v>0.6749999999999999</v>
      </c>
    </row>
    <row r="17" spans="1:13" ht="12.75">
      <c r="A17" s="26" t="s">
        <v>209</v>
      </c>
      <c r="B17" s="10">
        <v>0.041666666666666664</v>
      </c>
      <c r="I17" s="71" t="s">
        <v>253</v>
      </c>
      <c r="J17" s="77">
        <v>42184</v>
      </c>
      <c r="K17" s="78">
        <v>0.7708333333333334</v>
      </c>
      <c r="L17" s="68">
        <f>'début maritime'!J13</f>
        <v>42184</v>
      </c>
      <c r="M17" s="69">
        <f t="shared" si="0"/>
        <v>0.7708333333333334</v>
      </c>
    </row>
    <row r="18" spans="6:13" ht="12.75">
      <c r="F18" s="13"/>
      <c r="I18" s="71" t="s">
        <v>252</v>
      </c>
      <c r="J18" s="77">
        <v>42186</v>
      </c>
      <c r="K18" s="78">
        <v>0.2743055555555555</v>
      </c>
      <c r="L18" s="68">
        <f>'début maritime'!J14</f>
        <v>42186</v>
      </c>
      <c r="M18" s="69">
        <f t="shared" si="0"/>
        <v>0.2743055555555555</v>
      </c>
    </row>
    <row r="19" spans="6:13" ht="12.75">
      <c r="F19" s="26"/>
      <c r="I19" s="71" t="s">
        <v>256</v>
      </c>
      <c r="J19" s="77">
        <v>42187</v>
      </c>
      <c r="K19" s="78">
        <v>0.3368055555555556</v>
      </c>
      <c r="L19" s="68">
        <f>'début maritime'!J15</f>
        <v>42187</v>
      </c>
      <c r="M19" s="69">
        <f t="shared" si="0"/>
        <v>0.3368055555555556</v>
      </c>
    </row>
    <row r="20" spans="6:13" ht="12.75">
      <c r="F20" s="26"/>
      <c r="I20" s="71" t="s">
        <v>182</v>
      </c>
      <c r="J20" s="77">
        <v>42189</v>
      </c>
      <c r="K20" s="78">
        <v>0.3958333333333333</v>
      </c>
      <c r="L20" s="68">
        <f>'début maritime'!J16</f>
        <v>42189</v>
      </c>
      <c r="M20" s="69">
        <f t="shared" si="0"/>
        <v>0.3958333333333333</v>
      </c>
    </row>
    <row r="21" spans="6:13" ht="12.75">
      <c r="F21" s="26"/>
      <c r="I21" s="70" t="s">
        <v>85</v>
      </c>
      <c r="J21" s="77">
        <v>42257</v>
      </c>
      <c r="K21" s="78">
        <v>0.6743055555555556</v>
      </c>
      <c r="L21" s="68">
        <f>'fin mairitme'!J3</f>
        <v>42257</v>
      </c>
      <c r="M21" s="69">
        <f t="shared" si="0"/>
        <v>0.6743055555555556</v>
      </c>
    </row>
    <row r="22" spans="2:13" ht="12.75">
      <c r="B22" s="26"/>
      <c r="E22" s="56"/>
      <c r="F22" s="26"/>
      <c r="I22" s="70" t="s">
        <v>234</v>
      </c>
      <c r="J22" s="77">
        <v>42258</v>
      </c>
      <c r="K22" s="78">
        <v>0.7027777777777778</v>
      </c>
      <c r="L22" s="68">
        <f>'fin mairitme'!J4</f>
        <v>42258</v>
      </c>
      <c r="M22" s="69">
        <f t="shared" si="0"/>
        <v>0.7027777777777778</v>
      </c>
    </row>
    <row r="23" spans="6:13" ht="12.75">
      <c r="F23" s="26"/>
      <c r="I23" s="71" t="s">
        <v>235</v>
      </c>
      <c r="J23" s="77">
        <v>42259</v>
      </c>
      <c r="K23" s="78">
        <v>0.7159722222222222</v>
      </c>
      <c r="L23" s="68">
        <f>'fin mairitme'!J5</f>
        <v>42259</v>
      </c>
      <c r="M23" s="69">
        <f t="shared" si="0"/>
        <v>0.7159722222222222</v>
      </c>
    </row>
    <row r="24" spans="2:15" ht="12.75">
      <c r="B24" s="13"/>
      <c r="E24" s="55"/>
      <c r="F24" s="26"/>
      <c r="I24" s="71" t="s">
        <v>222</v>
      </c>
      <c r="J24" s="77">
        <v>42260</v>
      </c>
      <c r="K24" s="78">
        <v>0.23263888888888887</v>
      </c>
      <c r="L24" s="68">
        <f>'fin mairitme'!J6</f>
        <v>42260</v>
      </c>
      <c r="M24" s="69">
        <f t="shared" si="0"/>
        <v>0.23263888888888887</v>
      </c>
      <c r="O24">
        <f>L24-J24</f>
        <v>0</v>
      </c>
    </row>
    <row r="25" spans="5:13" ht="12.75">
      <c r="E25" s="55"/>
      <c r="F25" s="26"/>
      <c r="I25" s="72"/>
      <c r="J25" s="67"/>
      <c r="K25" s="62"/>
      <c r="L25" s="62"/>
      <c r="M25" s="63"/>
    </row>
    <row r="26" spans="5:17" ht="12.75">
      <c r="E26" s="10"/>
      <c r="F26" s="26"/>
      <c r="I26" s="61"/>
      <c r="J26" s="62"/>
      <c r="K26" s="62"/>
      <c r="L26" s="62"/>
      <c r="M26" s="63"/>
      <c r="N26" s="53"/>
      <c r="O26" s="10"/>
      <c r="P26" s="10"/>
      <c r="Q26" s="10"/>
    </row>
    <row r="27" spans="6:16" ht="13.5" thickBot="1">
      <c r="F27" s="26"/>
      <c r="I27" s="73" t="s">
        <v>254</v>
      </c>
      <c r="J27" s="74">
        <v>0.034722222222222224</v>
      </c>
      <c r="K27" s="75"/>
      <c r="L27" s="75"/>
      <c r="M27" s="76"/>
      <c r="N27" s="53"/>
      <c r="O27" s="10"/>
      <c r="P27" s="10"/>
    </row>
    <row r="28" spans="6:16" ht="12.75">
      <c r="F28" s="26"/>
      <c r="N28" s="53"/>
      <c r="O28" s="10"/>
      <c r="P28" s="10"/>
    </row>
    <row r="29" spans="6:16" ht="12.75">
      <c r="F29" s="26"/>
      <c r="I29" s="13" t="s">
        <v>257</v>
      </c>
      <c r="N29" s="53"/>
      <c r="O29" s="10"/>
      <c r="P29" s="10"/>
    </row>
    <row r="30" spans="6:16" ht="12.75">
      <c r="F30" s="13"/>
      <c r="N30" s="53"/>
      <c r="O30" s="10"/>
      <c r="P30" s="10"/>
    </row>
    <row r="31" spans="6:16" ht="12.75">
      <c r="F31" s="13"/>
      <c r="N31" s="53"/>
      <c r="O31" s="10"/>
      <c r="P31" s="10"/>
    </row>
    <row r="32" spans="6:16" ht="12.75">
      <c r="F32" s="26"/>
      <c r="N32" s="53"/>
      <c r="O32" s="10"/>
      <c r="P32" s="10"/>
    </row>
    <row r="33" spans="6:16" ht="12.75">
      <c r="F33" s="26"/>
      <c r="N33" s="53"/>
      <c r="O33" s="10"/>
      <c r="P33" s="10"/>
    </row>
    <row r="34" spans="14:16" ht="12.75">
      <c r="N34" s="53"/>
      <c r="O34" s="10"/>
      <c r="P34" s="10"/>
    </row>
  </sheetData>
  <sheetProtection/>
  <hyperlinks>
    <hyperlink ref="B5" r:id="rId1" display="www.plaisance-fluviale-bretonne.fr/domaine_navigable.htm"/>
    <hyperlink ref="B3" r:id="rId2" display="www.fluvialnet.com/voies-navigables/region-ouest-2/voie-canal-d-ille-et-rance-32"/>
    <hyperlink ref="B4" r:id="rId3" display="www.bretagne.fr/internet/jcms/preprod_168135/les-conditions-de-navigation"/>
    <hyperlink ref="B6" r:id="rId4" display="www.canauxdebretagne.org/canaux-de-bretagne_liaison-manche-ocean_en-chiffres.htm"/>
    <hyperlink ref="J4" r:id="rId5" display="http://maree.info/"/>
  </hyperlinks>
  <printOptions/>
  <pageMargins left="0.787401575" right="0.787401575" top="0.984251969" bottom="0.984251969" header="0.4921259845" footer="0.4921259845"/>
  <pageSetup horizontalDpi="300" verticalDpi="300" orientation="portrait" paperSize="9" r:id="rId8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23.00390625" style="0" customWidth="1"/>
    <col min="2" max="2" width="17.57421875" style="0" customWidth="1"/>
    <col min="3" max="3" width="17.8515625" style="0" customWidth="1"/>
    <col min="4" max="4" width="24.8515625" style="0" customWidth="1"/>
    <col min="5" max="5" width="13.00390625" style="0" customWidth="1"/>
    <col min="6" max="6" width="49.421875" style="0" customWidth="1"/>
    <col min="7" max="7" width="33.421875" style="0" customWidth="1"/>
  </cols>
  <sheetData>
    <row r="1" spans="1:7" ht="12.75">
      <c r="A1" s="22" t="s">
        <v>135</v>
      </c>
      <c r="B1" s="22" t="s">
        <v>136</v>
      </c>
      <c r="C1" s="22"/>
      <c r="D1" s="22" t="s">
        <v>137</v>
      </c>
      <c r="E1" s="22" t="s">
        <v>138</v>
      </c>
      <c r="F1" s="22" t="s">
        <v>86</v>
      </c>
      <c r="G1" s="22" t="s">
        <v>120</v>
      </c>
    </row>
    <row r="2" spans="1:7" ht="12.75">
      <c r="A2" s="13" t="s">
        <v>143</v>
      </c>
      <c r="C2" s="13" t="s">
        <v>144</v>
      </c>
      <c r="D2" s="13" t="s">
        <v>145</v>
      </c>
      <c r="E2" s="13" t="s">
        <v>146</v>
      </c>
      <c r="F2" t="s">
        <v>149</v>
      </c>
      <c r="G2" s="13" t="s">
        <v>150</v>
      </c>
    </row>
    <row r="4" spans="1:7" ht="12.75">
      <c r="A4" s="13" t="s">
        <v>139</v>
      </c>
      <c r="D4" s="13" t="s">
        <v>140</v>
      </c>
      <c r="E4" s="13" t="s">
        <v>141</v>
      </c>
      <c r="F4" s="21" t="s">
        <v>147</v>
      </c>
      <c r="G4" s="13" t="s">
        <v>148</v>
      </c>
    </row>
    <row r="5" spans="1:7" ht="12.75">
      <c r="A5" s="13" t="s">
        <v>191</v>
      </c>
      <c r="D5" s="13" t="s">
        <v>190</v>
      </c>
      <c r="E5" s="13" t="s">
        <v>192</v>
      </c>
      <c r="F5" s="21" t="s">
        <v>193</v>
      </c>
      <c r="G5" s="13" t="s">
        <v>194</v>
      </c>
    </row>
    <row r="6" spans="1:7" ht="12.75">
      <c r="A6" t="s">
        <v>123</v>
      </c>
      <c r="B6" t="s">
        <v>124</v>
      </c>
      <c r="C6" t="s">
        <v>125</v>
      </c>
      <c r="D6" t="s">
        <v>126</v>
      </c>
      <c r="E6" s="13" t="s">
        <v>142</v>
      </c>
      <c r="F6" s="21" t="s">
        <v>127</v>
      </c>
      <c r="G6" t="s">
        <v>129</v>
      </c>
    </row>
    <row r="7" spans="1:7" ht="12.75">
      <c r="A7" s="23" t="s">
        <v>130</v>
      </c>
      <c r="B7" t="s">
        <v>131</v>
      </c>
      <c r="D7" t="s">
        <v>132</v>
      </c>
      <c r="E7" t="s">
        <v>133</v>
      </c>
      <c r="F7" s="21" t="s">
        <v>134</v>
      </c>
      <c r="G7" t="s">
        <v>129</v>
      </c>
    </row>
    <row r="9" spans="1:7" ht="38.25">
      <c r="A9" t="s">
        <v>202</v>
      </c>
      <c r="E9" t="s">
        <v>203</v>
      </c>
      <c r="F9" s="21" t="s">
        <v>204</v>
      </c>
      <c r="G9" s="28" t="s">
        <v>205</v>
      </c>
    </row>
  </sheetData>
  <sheetProtection/>
  <hyperlinks>
    <hyperlink ref="F6" r:id="rId1" display="www.chantier-crisboat.com"/>
    <hyperlink ref="F7" r:id="rId2" display="www.cndevilaine.com"/>
    <hyperlink ref="F4" r:id="rId3" display="www.cngrandval.com"/>
    <hyperlink ref="F5" r:id="rId4" display="www.plouer-sur-rance.fr/fr/chantiersnavalsetservices.aspx"/>
    <hyperlink ref="F9" r:id="rId5" display="http://www.port-dinan-lanvallay.com/port.php"/>
  </hyperlinks>
  <printOptions/>
  <pageMargins left="0.7" right="0.7" top="0.75" bottom="0.75" header="0.3" footer="0.3"/>
  <pageSetup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Gobert</dc:creator>
  <cp:keywords/>
  <dc:description/>
  <cp:lastModifiedBy>jean</cp:lastModifiedBy>
  <dcterms:created xsi:type="dcterms:W3CDTF">2009-05-03T11:15:04Z</dcterms:created>
  <dcterms:modified xsi:type="dcterms:W3CDTF">2015-01-15T10:25:14Z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